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995" firstSheet="3" activeTab="4"/>
  </bookViews>
  <sheets>
    <sheet name="смета_2018" sheetId="1" state="hidden" r:id="rId1"/>
    <sheet name="измененная 2020, зп 35,35 " sheetId="2" state="hidden" r:id="rId2"/>
    <sheet name="членские взносы 35,35" sheetId="3" state="hidden" r:id="rId3"/>
    <sheet name="смета на 19.03.20" sheetId="4" r:id="rId4"/>
    <sheet name="на 07.02.2021" sheetId="5" r:id="rId5"/>
    <sheet name="Лист3" sheetId="6" r:id="rId6"/>
    <sheet name="Лист4" sheetId="7" r:id="rId7"/>
  </sheets>
  <definedNames>
    <definedName name="Excel_BuiltIn_Print_Area" localSheetId="0">'смета_2018'!#REF!</definedName>
  </definedNames>
  <calcPr fullCalcOnLoad="1" refMode="R1C1"/>
</workbook>
</file>

<file path=xl/sharedStrings.xml><?xml version="1.0" encoding="utf-8"?>
<sst xmlns="http://schemas.openxmlformats.org/spreadsheetml/2006/main" count="294" uniqueCount="222">
  <si>
    <r>
      <t xml:space="preserve">Смета доходов и расходов   ТСН </t>
    </r>
    <r>
      <rPr>
        <b/>
        <u val="single"/>
        <sz val="16"/>
        <color indexed="10"/>
        <rFont val="Times New Roman"/>
        <family val="1"/>
      </rPr>
      <t>"Новолуговое</t>
    </r>
    <r>
      <rPr>
        <b/>
        <u val="single"/>
        <sz val="16"/>
        <rFont val="Times New Roman"/>
        <family val="1"/>
      </rPr>
      <t xml:space="preserve">  "на 2020 год</t>
    </r>
  </si>
  <si>
    <t>№</t>
  </si>
  <si>
    <t>Планируемые виды ДОХОДЫ  ТСН</t>
  </si>
  <si>
    <t>Тариф</t>
  </si>
  <si>
    <t>Месяц</t>
  </si>
  <si>
    <t>Год</t>
  </si>
  <si>
    <t>Фактические доходы (2019)</t>
  </si>
  <si>
    <t>Расход  (2019)</t>
  </si>
  <si>
    <t>руб.</t>
  </si>
  <si>
    <t>Планируемые поступления от собственников и участников ТСН</t>
  </si>
  <si>
    <t>на счету на  01.01.2019</t>
  </si>
  <si>
    <t>поступило за 2019год</t>
  </si>
  <si>
    <t>остаток на счету на 01.01.2020</t>
  </si>
  <si>
    <t>0.</t>
  </si>
  <si>
    <t>Членские взносы</t>
  </si>
  <si>
    <t>Поступление за водоснабжение</t>
  </si>
  <si>
    <t>расход за год  12 000 м3</t>
  </si>
  <si>
    <t>11515 м3</t>
  </si>
  <si>
    <t>12247 м3</t>
  </si>
  <si>
    <t xml:space="preserve">Поступление за электроснабжение </t>
  </si>
  <si>
    <t>на общие нужды 53 833 КВт</t>
  </si>
  <si>
    <t>5 400 КВт</t>
  </si>
  <si>
    <t>Жители- 461 981 КВт</t>
  </si>
  <si>
    <t>День/Ночь  4,49/2,43 руб./КВтч</t>
  </si>
  <si>
    <t xml:space="preserve">  </t>
  </si>
  <si>
    <t>Планируемые целевые РАСХОДЫ на содержание и эксплуатацию ТСН:</t>
  </si>
  <si>
    <t>на домовладение</t>
  </si>
  <si>
    <t>Фактические расходы 19</t>
  </si>
  <si>
    <t>Общепоселковые нужды:</t>
  </si>
  <si>
    <t>1.1</t>
  </si>
  <si>
    <t>Водоснабжение</t>
  </si>
  <si>
    <t>2.1</t>
  </si>
  <si>
    <t xml:space="preserve">Электроэнергия </t>
  </si>
  <si>
    <t xml:space="preserve">Вывоз мусора </t>
  </si>
  <si>
    <t xml:space="preserve">1250 руб./м3 </t>
  </si>
  <si>
    <t>Фонд оплаты труда</t>
  </si>
  <si>
    <t>в том числе:</t>
  </si>
  <si>
    <t>на руки</t>
  </si>
  <si>
    <t>с налогами</t>
  </si>
  <si>
    <t>4.1</t>
  </si>
  <si>
    <t>Председатель ( ЗП +налоги)</t>
  </si>
  <si>
    <t>4.2</t>
  </si>
  <si>
    <t>Управляющая( ЗП +налоги)</t>
  </si>
  <si>
    <t>4.3</t>
  </si>
  <si>
    <t>Электрик (ЗП +налоги)</t>
  </si>
  <si>
    <t>4.4</t>
  </si>
  <si>
    <t>Сантехник  ( ЗП + налоги)</t>
  </si>
  <si>
    <t>4.5</t>
  </si>
  <si>
    <t>Разнорабочий ( ЗП +налоги)</t>
  </si>
  <si>
    <t>4.6</t>
  </si>
  <si>
    <t>Налоги от ФОТ 30%</t>
  </si>
  <si>
    <t>5</t>
  </si>
  <si>
    <t>Бухгалтерия (договор)</t>
  </si>
  <si>
    <t>Разовые общепоселковые нужды:</t>
  </si>
  <si>
    <t>6</t>
  </si>
  <si>
    <t>Обслуживание канализации, в том числе:</t>
  </si>
  <si>
    <t>6.1</t>
  </si>
  <si>
    <t>обслуживание ЛОС,</t>
  </si>
  <si>
    <t>6.2</t>
  </si>
  <si>
    <t>ежегодная прочистка центральной системы канализации.</t>
  </si>
  <si>
    <t>7</t>
  </si>
  <si>
    <t>Текущий ремонт, в том числе:</t>
  </si>
  <si>
    <t>7.1</t>
  </si>
  <si>
    <t>расходы на хозяйственные нужды,</t>
  </si>
  <si>
    <t>7.2</t>
  </si>
  <si>
    <t>обслуживание ворот.</t>
  </si>
  <si>
    <t>8</t>
  </si>
  <si>
    <t>Благоустройство ТСН, в том числе:</t>
  </si>
  <si>
    <t>8.1</t>
  </si>
  <si>
    <t>благоустройство территории  ЛОС (выравнивание площадки, вывоз мусора, забор),</t>
  </si>
  <si>
    <t>8.2</t>
  </si>
  <si>
    <t>забор детской и спортивной площадки,</t>
  </si>
  <si>
    <t>8.3</t>
  </si>
  <si>
    <t>бордюр для 7 очереди, два дома 5 очередь,</t>
  </si>
  <si>
    <t>8.4</t>
  </si>
  <si>
    <t>противопожарная безопасность,</t>
  </si>
  <si>
    <t>8.5</t>
  </si>
  <si>
    <t>благоустройство ( урны, забор у пухто, фонари и спил аварийных деревьев)</t>
  </si>
  <si>
    <t>9</t>
  </si>
  <si>
    <t>Услуги банка</t>
  </si>
  <si>
    <t>10</t>
  </si>
  <si>
    <t xml:space="preserve">Уборка снега </t>
  </si>
  <si>
    <t>11</t>
  </si>
  <si>
    <t>Расходы на организационную деятельность (новый год, мегафон, интернет, аренда зала)</t>
  </si>
  <si>
    <t>12</t>
  </si>
  <si>
    <t>Налог на земли общего пользования.</t>
  </si>
  <si>
    <t>ИТОГО членские взносы на 2020 год</t>
  </si>
  <si>
    <t>окр</t>
  </si>
  <si>
    <t>Целевые взносы, или с прибыли прошлого года (на голосование)</t>
  </si>
  <si>
    <t>13</t>
  </si>
  <si>
    <t>Детский спорт комплекс</t>
  </si>
  <si>
    <t>14</t>
  </si>
  <si>
    <t>Видеонаблюдение поселка (закупка дополнительной аппаратуры, камер)</t>
  </si>
  <si>
    <r>
      <t>Председатель Правления ТСН "</t>
    </r>
    <r>
      <rPr>
        <sz val="14"/>
        <color indexed="10"/>
        <rFont val="Times New Roman"/>
        <family val="1"/>
      </rPr>
      <t>Новолуговое</t>
    </r>
    <r>
      <rPr>
        <sz val="14"/>
        <rFont val="Times New Roman"/>
        <family val="1"/>
      </rPr>
      <t>"                 ___________________ С.Б.Марченко</t>
    </r>
  </si>
  <si>
    <r>
      <t>Членские взносы ТСН</t>
    </r>
    <r>
      <rPr>
        <b/>
        <sz val="10"/>
        <color indexed="10"/>
        <rFont val="Times New Roman"/>
        <family val="1"/>
      </rPr>
      <t xml:space="preserve"> "Новолуговое </t>
    </r>
    <r>
      <rPr>
        <b/>
        <sz val="10"/>
        <rFont val="Times New Roman"/>
        <family val="1"/>
      </rPr>
      <t>" на 2020г</t>
    </r>
  </si>
  <si>
    <t>Наименование затрат</t>
  </si>
  <si>
    <t>%</t>
  </si>
  <si>
    <t>Общепоселковые нужды</t>
  </si>
  <si>
    <t>Разовые общепоселковые нужды</t>
  </si>
  <si>
    <t xml:space="preserve">Благоустройство </t>
  </si>
  <si>
    <t>Прочие</t>
  </si>
  <si>
    <t>Итого</t>
  </si>
  <si>
    <r>
      <t xml:space="preserve">Председатель Правления ТСН </t>
    </r>
    <r>
      <rPr>
        <sz val="10"/>
        <color indexed="10"/>
        <rFont val="Times New Roman"/>
        <family val="1"/>
      </rPr>
      <t>"Новолуговое"</t>
    </r>
    <r>
      <rPr>
        <sz val="10"/>
        <rFont val="Times New Roman"/>
        <family val="1"/>
      </rPr>
      <t xml:space="preserve">                 ___________________ С.Б.Марченко</t>
    </r>
  </si>
  <si>
    <t>Смета доходов и расходов   ТСН "Щеглово-5 "на 2020 год</t>
  </si>
  <si>
    <t>Планируемые Расходы  ТСН</t>
  </si>
  <si>
    <t>Тарифы, з/пл</t>
  </si>
  <si>
    <t>Примечание (расчеты)</t>
  </si>
  <si>
    <t>1</t>
  </si>
  <si>
    <t>Полив туй и барбарисов при въезде в поселок. Промыв канализации.</t>
  </si>
  <si>
    <t>2</t>
  </si>
  <si>
    <t>Освещение - 101 дом, КНС</t>
  </si>
  <si>
    <t>Налоги от ФОТ 30,02%</t>
  </si>
  <si>
    <t>обслуживание ЛОС;</t>
  </si>
  <si>
    <t>6.3</t>
  </si>
  <si>
    <t>Дефектовка  дренажной системы 5- 6 очередь</t>
  </si>
  <si>
    <t>расходы на хозяйственные нужды;</t>
  </si>
  <si>
    <t>Покупка садового инвентаря: грабли 2 шт, лопаты 3 шт., кисти, краска, перчатки, лейка, шланг и пр.- 66 000 руб. Газонокосилка бензиновая 24 000 руб. Бензин для триммера и газонокосилки, масло и леска - 10 000 руб.</t>
  </si>
  <si>
    <t>благоустройство территории  ЛОС (выравнивание площадки, вывоз мусора, забор, деревья);</t>
  </si>
  <si>
    <t>Работа трактора 4 смены - 51 200 руб. Вывоз строй мусора с КНС 115 кубов- 75 000 руб. Забор у ЛОС с воротами и калиткой 100 000 руб., деревья 18 000 руб. Земля для деревьев 5 кубов - 5 800 руб.</t>
  </si>
  <si>
    <t>бордюр для 7 очереди, два дома 5 очередь;</t>
  </si>
  <si>
    <t>Закупка бордюра 240 м- 63 000 руб. Укладка бордюра 240 м- 48 000 руб., и плитки 11 м2- и бордюра - 8800 руб., срезки - 32 штуки по 200 руб. - 6 400 руб.. Ремонт смотрового колодца в 7 очереди 2 800 руб. Работа трактора 2 смены - 25 600 руб, песок 10 м3 - 15 000 руб., цемент-10 мешков по 50 кг- 6 500 руб., холодный асфальт -23700 руб., мастика для проклейки швов- 10 банок  по 1 500 р  -  15 000 руб., диски для резки бордюрного камня 4 шт - 5 200 руб.</t>
  </si>
  <si>
    <t>благоустройство ( урны, ремонт зоны пухто, фонари и спил аварийных деревьев).</t>
  </si>
  <si>
    <t>Урны мусорные для 5-6-7 очередей 3 шт -18 000 руб., фонари уличного освещения 4 шт. 24 000 руб., ремонт зоны пухто-22 000 руб., подпил веток у ДП- 6 000 руб.</t>
  </si>
  <si>
    <t>Юридическое сопровождение (решение вопроса о землях общего пользования)</t>
  </si>
  <si>
    <t>С собранных средств прошлого года (на голосование)</t>
  </si>
  <si>
    <t>Забор детской и спортивной площадки (ремонт забора по периметру).</t>
  </si>
  <si>
    <t>Сетка 50 м2 - 34 000 руб.,  столбы 80*80 по 3 м., 8 шт. - 20 000 руб., столб 40*20- 6м-9 шт- 45 000руб., трос металлический -100 м- 36 000 руб., работа 15 000 руб.</t>
  </si>
  <si>
    <t>15</t>
  </si>
  <si>
    <t>Противопожарная безопасность</t>
  </si>
  <si>
    <r>
      <t>В</t>
    </r>
    <r>
      <rPr>
        <sz val="12"/>
        <rFont val="Times New Roman"/>
        <family val="1"/>
      </rPr>
      <t>орота пожарные с калиткой в 6 и 7 очереди 40 000 руб., проверка гидрантов 10 000 руб, установка пожарного гидранта в 7 очереди - 80 000руб., пожарные учения 20 000 руб.</t>
    </r>
  </si>
  <si>
    <t>16</t>
  </si>
  <si>
    <t>Камеры, модем, регистратор-70 000 руб., работа-30 000руб.</t>
  </si>
  <si>
    <t>17</t>
  </si>
  <si>
    <t>Детский спортивный комплекс</t>
  </si>
  <si>
    <t>Председатель Правления ТСН "Щеглово-5"                 ___________________ С.Б.Марченко</t>
  </si>
  <si>
    <t>"УТВЕРЖДЕНО"</t>
  </si>
  <si>
    <t>решением собрания собственников</t>
  </si>
  <si>
    <t>мп</t>
  </si>
  <si>
    <t>Наименование статьи</t>
  </si>
  <si>
    <t>Тарифы, зарплата.</t>
  </si>
  <si>
    <t>на домовладение, за месяц</t>
  </si>
  <si>
    <t>ФЭО, примечание</t>
  </si>
  <si>
    <t>Доходы</t>
  </si>
  <si>
    <t>1.1.</t>
  </si>
  <si>
    <t>Членские взносы (100 домовладений)</t>
  </si>
  <si>
    <t>1.2.</t>
  </si>
  <si>
    <t>Оплата задолженностей членов по взносам</t>
  </si>
  <si>
    <t xml:space="preserve">Расходы </t>
  </si>
  <si>
    <t>Водоснабжение, в том числе:</t>
  </si>
  <si>
    <t>42,95 руб - до 30.06.21 после   44,41 руб.</t>
  </si>
  <si>
    <t>2.2</t>
  </si>
  <si>
    <t>Электроэнергия (общая).</t>
  </si>
  <si>
    <t>4,71/2,55</t>
  </si>
  <si>
    <t>Освещение поселка, 101 дом, КНС</t>
  </si>
  <si>
    <t>2.3</t>
  </si>
  <si>
    <t>Вывоз мусора (36 м3 в месяц)</t>
  </si>
  <si>
    <t xml:space="preserve">793,23 руб. за 1 м3 до 30.06.21 после 820,19 руб. </t>
  </si>
  <si>
    <t>Договор с АО "УК по обращению с отходами в ЛО", № 9436Ю-5/09-20, от 26.01.2021г.</t>
  </si>
  <si>
    <t>2.4</t>
  </si>
  <si>
    <t>Фонд оплаты труда, в том числе:</t>
  </si>
  <si>
    <t>2.4.1</t>
  </si>
  <si>
    <t>2.4.2</t>
  </si>
  <si>
    <t>Управляющая ( ЗП +налоги)</t>
  </si>
  <si>
    <t>2.4.3</t>
  </si>
  <si>
    <t>2.4.4</t>
  </si>
  <si>
    <t>2.4.5</t>
  </si>
  <si>
    <t>2.4.6</t>
  </si>
  <si>
    <t>2.5</t>
  </si>
  <si>
    <t>ООО "Финансы Право Бухучет", дог №215/18-бух</t>
  </si>
  <si>
    <t>2.6</t>
  </si>
  <si>
    <t>2.7</t>
  </si>
  <si>
    <t>2.8</t>
  </si>
  <si>
    <t>Аренда земельных участков</t>
  </si>
  <si>
    <t>2.9</t>
  </si>
  <si>
    <t>Организационная деятельность, в том числе:</t>
  </si>
  <si>
    <t>2.9.1</t>
  </si>
  <si>
    <t>2.9.2</t>
  </si>
  <si>
    <t>Телефон Мегафон.</t>
  </si>
  <si>
    <t>2.9.3</t>
  </si>
  <si>
    <t>Транспортные расходы (бензин).</t>
  </si>
  <si>
    <t>2.9.4.</t>
  </si>
  <si>
    <t>Сайт товарищества.</t>
  </si>
  <si>
    <t>ООО "Национальные коммуникации", договор №1092478</t>
  </si>
  <si>
    <t>2.10.1</t>
  </si>
  <si>
    <t>Обслуживание ЛОС.</t>
  </si>
  <si>
    <t>2.10.2</t>
  </si>
  <si>
    <t>Ежегодная прочистка центральной системы канализации.</t>
  </si>
  <si>
    <t>Договор с ООО"Эко-Диалог"</t>
  </si>
  <si>
    <t>2.11</t>
  </si>
  <si>
    <t>2.11.1</t>
  </si>
  <si>
    <t>Расходы на хозяйственные нужды.</t>
  </si>
  <si>
    <t>2.11.2</t>
  </si>
  <si>
    <t>Обслуживание ворот.</t>
  </si>
  <si>
    <t>ИТОГО членские взносы на 2021 год, в рублях</t>
  </si>
  <si>
    <t>с домовладения</t>
  </si>
  <si>
    <t>Из неиспользованных средств прошлых смет:</t>
  </si>
  <si>
    <t>Юридическое сопровождение (решение вопроса о землях общего пользования и т.д.)</t>
  </si>
  <si>
    <t>2.17</t>
  </si>
  <si>
    <t>Работа с должниками (договор о составлении и направлении взыскания задолженностей по оплате членских взносов).</t>
  </si>
  <si>
    <t>Лаптенок В.С., адвокатская палата  СП , дог.№26012021</t>
  </si>
  <si>
    <t>Договор холодного водоснабжения с ООО "Интехстрой" № 2021-23-ХВ, от 01.01.2021г. Полив насаждений при въезде в поселок, Прочистка центральной канализации, Прочистка, промывка ЛОС.</t>
  </si>
  <si>
    <t>Налоги от ФОТ</t>
  </si>
  <si>
    <t>ДНП "Щеглово-2" доовор №1 за 2021г.</t>
  </si>
  <si>
    <t>прочие расходы</t>
  </si>
  <si>
    <t xml:space="preserve">940л. по 53р. </t>
  </si>
  <si>
    <t xml:space="preserve">ИП Пивень А.Г., дог №52, ИП Степанов К.В., </t>
  </si>
  <si>
    <t>2.11.3</t>
  </si>
  <si>
    <t>2.11.4</t>
  </si>
  <si>
    <t>2.11.5</t>
  </si>
  <si>
    <t>Снегоуборщик бензиновый</t>
  </si>
  <si>
    <t>Ремонт и обслуживание детской-спортивной площадки</t>
  </si>
  <si>
    <t>2.9.5</t>
  </si>
  <si>
    <t>данные на 01.02.2022</t>
  </si>
  <si>
    <t>Федоров Д.Н, Красаков А.А., ИП Молчанов А.А.</t>
  </si>
  <si>
    <t>Карелина Н.С.</t>
  </si>
  <si>
    <t>Председатель ТСЖ  "Щеглово-5"                 ___________________ Расторопов В.Н.</t>
  </si>
  <si>
    <t>Смета доходов - расходов ТСЖ "Щеглово-5 "на 2022 год</t>
  </si>
  <si>
    <t>протокол №_____, от "__"______2022 года.</t>
  </si>
  <si>
    <t>ТСЖ "Щеглово-5"</t>
  </si>
  <si>
    <t>бытовка для разнорабочего и хоз. склада</t>
  </si>
  <si>
    <t>Ремонт площадки, покраска горок, песочницы, забора, установка воркаут зоны, замена песка в песочнице.</t>
  </si>
  <si>
    <t>Непредвиденные расходы, срочный ремонт канализации, спил опасных деревьев, санитарная обрезка деревьев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</si>
</sst>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.00_ ;\-#,##0.00\ "/>
    <numFmt numFmtId="181" formatCode="0.0"/>
  </numFmts>
  <fonts count="60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4"/>
      <color indexed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4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left" vertical="center" wrapText="1" shrinkToFit="1"/>
    </xf>
    <xf numFmtId="0" fontId="9" fillId="34" borderId="10" xfId="0" applyFont="1" applyFill="1" applyBorder="1" applyAlignment="1">
      <alignment horizontal="center" vertical="center" shrinkToFit="1"/>
    </xf>
    <xf numFmtId="2" fontId="9" fillId="34" borderId="10" xfId="0" applyNumberFormat="1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left" vertical="center" wrapText="1" shrinkToFit="1"/>
    </xf>
    <xf numFmtId="4" fontId="9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wrapText="1" shrinkToFit="1"/>
    </xf>
    <xf numFmtId="4" fontId="12" fillId="34" borderId="10" xfId="0" applyNumberFormat="1" applyFont="1" applyFill="1" applyBorder="1" applyAlignment="1">
      <alignment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4" fontId="12" fillId="33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left" wrapText="1" shrinkToFit="1"/>
    </xf>
    <xf numFmtId="4" fontId="12" fillId="34" borderId="10" xfId="0" applyNumberFormat="1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left" vertical="center" wrapText="1" shrinkToFit="1"/>
    </xf>
    <xf numFmtId="4" fontId="9" fillId="33" borderId="10" xfId="33" applyNumberFormat="1" applyFont="1" applyFill="1" applyBorder="1" applyAlignment="1">
      <alignment horizontal="center" vertical="center" shrinkToFit="1"/>
      <protection/>
    </xf>
    <xf numFmtId="4" fontId="2" fillId="33" borderId="10" xfId="33" applyNumberFormat="1" applyFont="1" applyFill="1" applyBorder="1" applyAlignment="1">
      <alignment horizontal="left" vertical="center" wrapText="1" shrinkToFit="1"/>
      <protection/>
    </xf>
    <xf numFmtId="4" fontId="12" fillId="33" borderId="0" xfId="0" applyNumberFormat="1" applyFont="1" applyFill="1" applyBorder="1" applyAlignment="1">
      <alignment wrapText="1" shrinkToFit="1"/>
    </xf>
    <xf numFmtId="0" fontId="3" fillId="33" borderId="10" xfId="0" applyFont="1" applyFill="1" applyBorder="1" applyAlignment="1">
      <alignment horizontal="left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shrinkToFit="1"/>
    </xf>
    <xf numFmtId="4" fontId="12" fillId="33" borderId="10" xfId="33" applyNumberFormat="1" applyFont="1" applyFill="1" applyBorder="1" applyAlignment="1">
      <alignment horizontal="center" vertical="center" shrinkToFit="1"/>
      <protection/>
    </xf>
    <xf numFmtId="4" fontId="2" fillId="33" borderId="10" xfId="33" applyNumberFormat="1" applyFont="1" applyFill="1" applyBorder="1" applyAlignment="1">
      <alignment horizontal="center" vertical="center" wrapText="1" shrinkToFit="1"/>
      <protection/>
    </xf>
    <xf numFmtId="49" fontId="6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left" wrapText="1" shrinkToFit="1"/>
    </xf>
    <xf numFmtId="0" fontId="9" fillId="33" borderId="10" xfId="0" applyFont="1" applyFill="1" applyBorder="1" applyAlignment="1">
      <alignment horizontal="center" shrinkToFit="1"/>
    </xf>
    <xf numFmtId="4" fontId="12" fillId="33" borderId="10" xfId="33" applyNumberFormat="1" applyFont="1" applyFill="1" applyBorder="1" applyAlignment="1">
      <alignment horizontal="center" shrinkToFit="1"/>
      <protection/>
    </xf>
    <xf numFmtId="4" fontId="9" fillId="33" borderId="10" xfId="33" applyNumberFormat="1" applyFont="1" applyFill="1" applyBorder="1" applyAlignment="1">
      <alignment horizontal="center" shrinkToFit="1"/>
      <protection/>
    </xf>
    <xf numFmtId="4" fontId="12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horizontal="center" vertical="center" shrinkToFit="1"/>
    </xf>
    <xf numFmtId="4" fontId="5" fillId="33" borderId="10" xfId="33" applyNumberFormat="1" applyFont="1" applyFill="1" applyBorder="1" applyAlignment="1">
      <alignment horizontal="center" vertical="center" shrinkToFit="1"/>
      <protection/>
    </xf>
    <xf numFmtId="4" fontId="5" fillId="33" borderId="10" xfId="33" applyNumberFormat="1" applyFont="1" applyFill="1" applyBorder="1" applyAlignment="1">
      <alignment horizontal="center" vertical="center" wrapText="1" shrinkToFit="1"/>
      <protection/>
    </xf>
    <xf numFmtId="49" fontId="2" fillId="33" borderId="10" xfId="0" applyNumberFormat="1" applyFont="1" applyFill="1" applyBorder="1" applyAlignment="1">
      <alignment horizontal="center" shrinkToFit="1"/>
    </xf>
    <xf numFmtId="180" fontId="12" fillId="33" borderId="10" xfId="0" applyNumberFormat="1" applyFont="1" applyFill="1" applyBorder="1" applyAlignment="1">
      <alignment horizontal="center" shrinkToFit="1"/>
    </xf>
    <xf numFmtId="4" fontId="12" fillId="33" borderId="10" xfId="33" applyNumberFormat="1" applyFont="1" applyFill="1" applyBorder="1" applyAlignment="1">
      <alignment horizontal="center" vertical="center" wrapText="1" shrinkToFit="1"/>
      <protection/>
    </xf>
    <xf numFmtId="4" fontId="2" fillId="33" borderId="0" xfId="0" applyNumberFormat="1" applyFont="1" applyFill="1" applyAlignment="1">
      <alignment/>
    </xf>
    <xf numFmtId="4" fontId="12" fillId="33" borderId="10" xfId="33" applyNumberFormat="1" applyFont="1" applyFill="1" applyBorder="1" applyAlignment="1">
      <alignment horizontal="center" wrapText="1" shrinkToFit="1"/>
      <protection/>
    </xf>
    <xf numFmtId="0" fontId="12" fillId="33" borderId="10" xfId="0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horizontal="left" wrapText="1" shrinkToFit="1"/>
    </xf>
    <xf numFmtId="4" fontId="10" fillId="33" borderId="10" xfId="0" applyNumberFormat="1" applyFont="1" applyFill="1" applyBorder="1" applyAlignment="1">
      <alignment wrapText="1" shrinkToFit="1"/>
    </xf>
    <xf numFmtId="0" fontId="12" fillId="33" borderId="10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left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" fontId="10" fillId="33" borderId="10" xfId="33" applyNumberFormat="1" applyFont="1" applyFill="1" applyBorder="1" applyAlignment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center" shrinkToFit="1"/>
    </xf>
    <xf numFmtId="4" fontId="3" fillId="33" borderId="10" xfId="33" applyNumberFormat="1" applyFont="1" applyFill="1" applyBorder="1" applyAlignment="1">
      <alignment horizontal="center" vertical="center" shrinkToFit="1"/>
      <protection/>
    </xf>
    <xf numFmtId="4" fontId="10" fillId="33" borderId="10" xfId="33" applyNumberFormat="1" applyFont="1" applyFill="1" applyBorder="1" applyAlignment="1">
      <alignment horizontal="left" wrapText="1" shrinkToFit="1"/>
      <protection/>
    </xf>
    <xf numFmtId="4" fontId="2" fillId="33" borderId="10" xfId="33" applyNumberFormat="1" applyFont="1" applyFill="1" applyBorder="1" applyAlignment="1">
      <alignment horizontal="center" wrapText="1" shrinkToFit="1"/>
      <protection/>
    </xf>
    <xf numFmtId="0" fontId="3" fillId="33" borderId="10" xfId="0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center" shrinkToFit="1"/>
    </xf>
    <xf numFmtId="4" fontId="3" fillId="33" borderId="10" xfId="33" applyNumberFormat="1" applyFont="1" applyFill="1" applyBorder="1" applyAlignment="1">
      <alignment horizontal="center" shrinkToFit="1"/>
      <protection/>
    </xf>
    <xf numFmtId="4" fontId="3" fillId="33" borderId="10" xfId="33" applyNumberFormat="1" applyFont="1" applyFill="1" applyBorder="1" applyAlignment="1">
      <alignment horizontal="center" wrapText="1" shrinkToFit="1"/>
      <protection/>
    </xf>
    <xf numFmtId="4" fontId="11" fillId="33" borderId="10" xfId="0" applyNumberFormat="1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wrapText="1" shrinkToFit="1"/>
    </xf>
    <xf numFmtId="49" fontId="6" fillId="33" borderId="10" xfId="0" applyNumberFormat="1" applyFont="1" applyFill="1" applyBorder="1" applyAlignment="1">
      <alignment horizontal="left" vertical="center" wrapText="1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wrapText="1" shrinkToFit="1"/>
    </xf>
    <xf numFmtId="0" fontId="12" fillId="33" borderId="10" xfId="0" applyFont="1" applyFill="1" applyBorder="1" applyAlignment="1">
      <alignment shrinkToFit="1"/>
    </xf>
    <xf numFmtId="4" fontId="14" fillId="33" borderId="10" xfId="0" applyNumberFormat="1" applyFont="1" applyFill="1" applyBorder="1" applyAlignment="1">
      <alignment shrinkToFit="1"/>
    </xf>
    <xf numFmtId="2" fontId="14" fillId="33" borderId="1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Alignment="1">
      <alignment horizontal="center" shrinkToFit="1"/>
    </xf>
    <xf numFmtId="0" fontId="2" fillId="33" borderId="0" xfId="0" applyFont="1" applyFill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left" vertical="center" wrapText="1" shrinkToFit="1"/>
    </xf>
    <xf numFmtId="0" fontId="9" fillId="34" borderId="13" xfId="0" applyFont="1" applyFill="1" applyBorder="1" applyAlignment="1">
      <alignment horizontal="center" vertical="center" shrinkToFit="1"/>
    </xf>
    <xf numFmtId="2" fontId="9" fillId="34" borderId="14" xfId="0" applyNumberFormat="1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49" fontId="9" fillId="35" borderId="16" xfId="0" applyNumberFormat="1" applyFont="1" applyFill="1" applyBorder="1" applyAlignment="1">
      <alignment horizontal="center" shrinkToFit="1"/>
    </xf>
    <xf numFmtId="0" fontId="11" fillId="35" borderId="17" xfId="0" applyFont="1" applyFill="1" applyBorder="1" applyAlignment="1">
      <alignment horizontal="left" vertical="center" wrapText="1" shrinkToFit="1"/>
    </xf>
    <xf numFmtId="0" fontId="9" fillId="35" borderId="17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 shrinkToFit="1"/>
    </xf>
    <xf numFmtId="0" fontId="12" fillId="35" borderId="18" xfId="0" applyFont="1" applyFill="1" applyBorder="1" applyAlignment="1">
      <alignment horizontal="center" vertical="center" shrinkToFit="1"/>
    </xf>
    <xf numFmtId="0" fontId="12" fillId="35" borderId="18" xfId="0" applyFont="1" applyFill="1" applyBorder="1" applyAlignment="1">
      <alignment horizontal="center" vertical="center" wrapText="1" shrinkToFit="1"/>
    </xf>
    <xf numFmtId="49" fontId="9" fillId="35" borderId="16" xfId="0" applyNumberFormat="1" applyFont="1" applyFill="1" applyBorder="1" applyAlignment="1">
      <alignment horizontal="center" vertical="center" shrinkToFit="1"/>
    </xf>
    <xf numFmtId="0" fontId="12" fillId="35" borderId="18" xfId="0" applyFont="1" applyFill="1" applyBorder="1" applyAlignment="1">
      <alignment horizontal="left" vertical="center" wrapText="1" shrinkToFit="1"/>
    </xf>
    <xf numFmtId="4" fontId="12" fillId="35" borderId="18" xfId="0" applyNumberFormat="1" applyFont="1" applyFill="1" applyBorder="1" applyAlignment="1">
      <alignment horizontal="center" vertical="center" shrinkToFit="1"/>
    </xf>
    <xf numFmtId="4" fontId="9" fillId="35" borderId="19" xfId="33" applyNumberFormat="1" applyFont="1" applyFill="1" applyBorder="1" applyAlignment="1">
      <alignment horizontal="center" vertical="center" shrinkToFit="1"/>
      <protection/>
    </xf>
    <xf numFmtId="4" fontId="3" fillId="35" borderId="19" xfId="33" applyNumberFormat="1" applyFont="1" applyFill="1" applyBorder="1" applyAlignment="1">
      <alignment horizontal="center" vertical="center" wrapText="1" shrinkToFit="1"/>
      <protection/>
    </xf>
    <xf numFmtId="4" fontId="3" fillId="35" borderId="19" xfId="33" applyNumberFormat="1" applyFont="1" applyFill="1" applyBorder="1" applyAlignment="1">
      <alignment horizontal="center" wrapText="1" shrinkToFit="1"/>
      <protection/>
    </xf>
    <xf numFmtId="0" fontId="16" fillId="35" borderId="0" xfId="0" applyFont="1" applyFill="1" applyAlignment="1">
      <alignment/>
    </xf>
    <xf numFmtId="0" fontId="12" fillId="35" borderId="17" xfId="0" applyFont="1" applyFill="1" applyBorder="1" applyAlignment="1">
      <alignment horizontal="left" wrapText="1" shrinkToFit="1"/>
    </xf>
    <xf numFmtId="0" fontId="12" fillId="35" borderId="16" xfId="0" applyFont="1" applyFill="1" applyBorder="1" applyAlignment="1">
      <alignment horizontal="center" shrinkToFit="1"/>
    </xf>
    <xf numFmtId="4" fontId="12" fillId="35" borderId="20" xfId="33" applyNumberFormat="1" applyFont="1" applyFill="1" applyBorder="1" applyAlignment="1">
      <alignment horizontal="center" shrinkToFit="1"/>
      <protection/>
    </xf>
    <xf numFmtId="4" fontId="12" fillId="35" borderId="19" xfId="33" applyNumberFormat="1" applyFont="1" applyFill="1" applyBorder="1" applyAlignment="1">
      <alignment horizontal="center" shrinkToFit="1"/>
      <protection/>
    </xf>
    <xf numFmtId="4" fontId="12" fillId="35" borderId="19" xfId="33" applyNumberFormat="1" applyFont="1" applyFill="1" applyBorder="1" applyAlignment="1">
      <alignment horizontal="center" vertical="center" wrapText="1" shrinkToFit="1"/>
      <protection/>
    </xf>
    <xf numFmtId="0" fontId="11" fillId="35" borderId="17" xfId="0" applyFont="1" applyFill="1" applyBorder="1" applyAlignment="1">
      <alignment horizontal="left" wrapText="1" shrinkToFit="1"/>
    </xf>
    <xf numFmtId="0" fontId="9" fillId="35" borderId="21" xfId="0" applyFont="1" applyFill="1" applyBorder="1" applyAlignment="1">
      <alignment horizontal="center" shrinkToFit="1"/>
    </xf>
    <xf numFmtId="4" fontId="12" fillId="35" borderId="22" xfId="33" applyNumberFormat="1" applyFont="1" applyFill="1" applyBorder="1" applyAlignment="1">
      <alignment horizontal="center" shrinkToFit="1"/>
      <protection/>
    </xf>
    <xf numFmtId="4" fontId="9" fillId="35" borderId="19" xfId="33" applyNumberFormat="1" applyFont="1" applyFill="1" applyBorder="1" applyAlignment="1">
      <alignment horizontal="center" shrinkToFit="1"/>
      <protection/>
    </xf>
    <xf numFmtId="4" fontId="12" fillId="35" borderId="19" xfId="33" applyNumberFormat="1" applyFont="1" applyFill="1" applyBorder="1" applyAlignment="1">
      <alignment horizontal="center" wrapText="1" shrinkToFit="1"/>
      <protection/>
    </xf>
    <xf numFmtId="0" fontId="16" fillId="35" borderId="0" xfId="0" applyFont="1" applyFill="1" applyAlignment="1">
      <alignment vertical="center"/>
    </xf>
    <xf numFmtId="0" fontId="9" fillId="35" borderId="17" xfId="0" applyFont="1" applyFill="1" applyBorder="1" applyAlignment="1">
      <alignment horizontal="left" vertical="center" wrapText="1" shrinkToFit="1"/>
    </xf>
    <xf numFmtId="0" fontId="12" fillId="35" borderId="21" xfId="0" applyFont="1" applyFill="1" applyBorder="1" applyAlignment="1">
      <alignment horizontal="center" vertical="center" shrinkToFit="1"/>
    </xf>
    <xf numFmtId="4" fontId="12" fillId="35" borderId="20" xfId="33" applyNumberFormat="1" applyFont="1" applyFill="1" applyBorder="1" applyAlignment="1">
      <alignment horizontal="center" vertical="center" shrinkToFit="1"/>
      <protection/>
    </xf>
    <xf numFmtId="4" fontId="12" fillId="35" borderId="22" xfId="33" applyNumberFormat="1" applyFont="1" applyFill="1" applyBorder="1" applyAlignment="1">
      <alignment horizontal="center" vertical="center" shrinkToFit="1"/>
      <protection/>
    </xf>
    <xf numFmtId="4" fontId="12" fillId="35" borderId="19" xfId="33" applyNumberFormat="1" applyFont="1" applyFill="1" applyBorder="1" applyAlignment="1">
      <alignment horizontal="center" vertical="center" shrinkToFit="1"/>
      <protection/>
    </xf>
    <xf numFmtId="49" fontId="12" fillId="35" borderId="16" xfId="0" applyNumberFormat="1" applyFont="1" applyFill="1" applyBorder="1" applyAlignment="1">
      <alignment horizontal="center" shrinkToFit="1"/>
    </xf>
    <xf numFmtId="180" fontId="12" fillId="35" borderId="21" xfId="0" applyNumberFormat="1" applyFont="1" applyFill="1" applyBorder="1" applyAlignment="1">
      <alignment horizontal="center" shrinkToFit="1"/>
    </xf>
    <xf numFmtId="2" fontId="2" fillId="35" borderId="0" xfId="0" applyNumberFormat="1" applyFont="1" applyFill="1" applyAlignment="1">
      <alignment/>
    </xf>
    <xf numFmtId="0" fontId="12" fillId="35" borderId="19" xfId="0" applyFont="1" applyFill="1" applyBorder="1" applyAlignment="1">
      <alignment horizontal="left" wrapText="1" shrinkToFit="1"/>
    </xf>
    <xf numFmtId="4" fontId="12" fillId="35" borderId="23" xfId="33" applyNumberFormat="1" applyFont="1" applyFill="1" applyBorder="1" applyAlignment="1">
      <alignment horizontal="center" shrinkToFit="1"/>
      <protection/>
    </xf>
    <xf numFmtId="0" fontId="12" fillId="35" borderId="21" xfId="0" applyFont="1" applyFill="1" applyBorder="1" applyAlignment="1">
      <alignment horizontal="center" shrinkToFit="1"/>
    </xf>
    <xf numFmtId="4" fontId="12" fillId="35" borderId="16" xfId="0" applyNumberFormat="1" applyFont="1" applyFill="1" applyBorder="1" applyAlignment="1">
      <alignment horizontal="center" shrinkToFit="1"/>
    </xf>
    <xf numFmtId="4" fontId="12" fillId="35" borderId="18" xfId="33" applyNumberFormat="1" applyFont="1" applyFill="1" applyBorder="1" applyAlignment="1">
      <alignment horizontal="center" wrapText="1" shrinkToFit="1"/>
      <protection/>
    </xf>
    <xf numFmtId="0" fontId="9" fillId="35" borderId="17" xfId="0" applyFont="1" applyFill="1" applyBorder="1" applyAlignment="1">
      <alignment horizontal="left" wrapText="1" shrinkToFit="1"/>
    </xf>
    <xf numFmtId="4" fontId="12" fillId="35" borderId="18" xfId="0" applyNumberFormat="1" applyFont="1" applyFill="1" applyBorder="1" applyAlignment="1">
      <alignment horizontal="center" shrinkToFit="1"/>
    </xf>
    <xf numFmtId="4" fontId="12" fillId="35" borderId="16" xfId="33" applyNumberFormat="1" applyFont="1" applyFill="1" applyBorder="1" applyAlignment="1">
      <alignment horizontal="center" shrinkToFit="1"/>
      <protection/>
    </xf>
    <xf numFmtId="4" fontId="12" fillId="35" borderId="16" xfId="33" applyNumberFormat="1" applyFont="1" applyFill="1" applyBorder="1" applyAlignment="1">
      <alignment horizontal="center" wrapText="1" shrinkToFit="1"/>
      <protection/>
    </xf>
    <xf numFmtId="0" fontId="12" fillId="35" borderId="18" xfId="0" applyFont="1" applyFill="1" applyBorder="1" applyAlignment="1">
      <alignment horizontal="center" shrinkToFit="1"/>
    </xf>
    <xf numFmtId="0" fontId="9" fillId="35" borderId="18" xfId="0" applyFont="1" applyFill="1" applyBorder="1" applyAlignment="1">
      <alignment horizontal="left" wrapText="1" shrinkToFit="1"/>
    </xf>
    <xf numFmtId="0" fontId="9" fillId="35" borderId="18" xfId="0" applyFont="1" applyFill="1" applyBorder="1" applyAlignment="1">
      <alignment horizontal="center" shrinkToFit="1"/>
    </xf>
    <xf numFmtId="49" fontId="3" fillId="35" borderId="16" xfId="0" applyNumberFormat="1" applyFont="1" applyFill="1" applyBorder="1" applyAlignment="1">
      <alignment horizontal="center" shrinkToFit="1"/>
    </xf>
    <xf numFmtId="0" fontId="3" fillId="35" borderId="18" xfId="0" applyFont="1" applyFill="1" applyBorder="1" applyAlignment="1">
      <alignment horizontal="left" wrapText="1" shrinkToFit="1"/>
    </xf>
    <xf numFmtId="0" fontId="3" fillId="35" borderId="18" xfId="0" applyFont="1" applyFill="1" applyBorder="1" applyAlignment="1">
      <alignment horizontal="center" shrinkToFit="1"/>
    </xf>
    <xf numFmtId="4" fontId="3" fillId="35" borderId="18" xfId="0" applyNumberFormat="1" applyFont="1" applyFill="1" applyBorder="1" applyAlignment="1">
      <alignment horizontal="center" shrinkToFit="1"/>
    </xf>
    <xf numFmtId="4" fontId="3" fillId="35" borderId="19" xfId="33" applyNumberFormat="1" applyFont="1" applyFill="1" applyBorder="1" applyAlignment="1">
      <alignment horizontal="center" shrinkToFit="1"/>
      <protection/>
    </xf>
    <xf numFmtId="4" fontId="3" fillId="35" borderId="19" xfId="33" applyNumberFormat="1" applyFont="1" applyFill="1" applyBorder="1" applyAlignment="1">
      <alignment horizontal="center" vertical="center" shrinkToFit="1"/>
      <protection/>
    </xf>
    <xf numFmtId="0" fontId="9" fillId="35" borderId="16" xfId="0" applyFont="1" applyFill="1" applyBorder="1" applyAlignment="1">
      <alignment horizontal="center" shrinkToFit="1"/>
    </xf>
    <xf numFmtId="49" fontId="3" fillId="35" borderId="16" xfId="0" applyNumberFormat="1" applyFont="1" applyFill="1" applyBorder="1" applyAlignment="1">
      <alignment horizontal="center" vertical="center" shrinkToFit="1"/>
    </xf>
    <xf numFmtId="0" fontId="3" fillId="35" borderId="17" xfId="0" applyFont="1" applyFill="1" applyBorder="1" applyAlignment="1">
      <alignment horizontal="left" vertical="center" wrapText="1" shrinkToFit="1"/>
    </xf>
    <xf numFmtId="0" fontId="3" fillId="35" borderId="16" xfId="0" applyFont="1" applyFill="1" applyBorder="1" applyAlignment="1">
      <alignment horizontal="center" vertical="center" shrinkToFit="1"/>
    </xf>
    <xf numFmtId="4" fontId="3" fillId="35" borderId="18" xfId="0" applyNumberFormat="1" applyFont="1" applyFill="1" applyBorder="1" applyAlignment="1">
      <alignment horizontal="center" vertical="center" shrinkToFit="1"/>
    </xf>
    <xf numFmtId="4" fontId="3" fillId="35" borderId="19" xfId="33" applyNumberFormat="1" applyFont="1" applyFill="1" applyBorder="1" applyAlignment="1">
      <alignment horizontal="left" vertical="center" wrapText="1" shrinkToFit="1"/>
      <protection/>
    </xf>
    <xf numFmtId="0" fontId="3" fillId="35" borderId="17" xfId="0" applyFont="1" applyFill="1" applyBorder="1" applyAlignment="1">
      <alignment horizontal="left" wrapText="1" shrinkToFit="1"/>
    </xf>
    <xf numFmtId="0" fontId="3" fillId="35" borderId="16" xfId="0" applyFont="1" applyFill="1" applyBorder="1" applyAlignment="1">
      <alignment horizontal="center" shrinkToFit="1"/>
    </xf>
    <xf numFmtId="0" fontId="9" fillId="35" borderId="16" xfId="0" applyFont="1" applyFill="1" applyBorder="1" applyAlignment="1">
      <alignment horizontal="center" vertical="center" shrinkToFit="1"/>
    </xf>
    <xf numFmtId="4" fontId="12" fillId="35" borderId="17" xfId="0" applyNumberFormat="1" applyFont="1" applyFill="1" applyBorder="1" applyAlignment="1">
      <alignment horizontal="center" vertical="center" shrinkToFit="1"/>
    </xf>
    <xf numFmtId="4" fontId="6" fillId="35" borderId="0" xfId="0" applyNumberFormat="1" applyFont="1" applyFill="1" applyAlignment="1">
      <alignment vertical="center"/>
    </xf>
    <xf numFmtId="49" fontId="12" fillId="35" borderId="16" xfId="0" applyNumberFormat="1" applyFont="1" applyFill="1" applyBorder="1" applyAlignment="1">
      <alignment horizontal="center" vertical="center" shrinkToFit="1"/>
    </xf>
    <xf numFmtId="4" fontId="3" fillId="35" borderId="17" xfId="0" applyNumberFormat="1" applyFont="1" applyFill="1" applyBorder="1" applyAlignment="1">
      <alignment horizontal="center" vertical="center" shrinkToFit="1"/>
    </xf>
    <xf numFmtId="4" fontId="2" fillId="35" borderId="0" xfId="0" applyNumberFormat="1" applyFont="1" applyFill="1" applyAlignment="1">
      <alignment vertical="center"/>
    </xf>
    <xf numFmtId="0" fontId="3" fillId="35" borderId="24" xfId="0" applyFont="1" applyFill="1" applyBorder="1" applyAlignment="1">
      <alignment horizontal="left" vertical="center" wrapText="1" shrinkToFit="1"/>
    </xf>
    <xf numFmtId="0" fontId="3" fillId="35" borderId="25" xfId="0" applyFont="1" applyFill="1" applyBorder="1" applyAlignment="1">
      <alignment horizontal="center" vertical="center" shrinkToFit="1"/>
    </xf>
    <xf numFmtId="4" fontId="3" fillId="35" borderId="24" xfId="0" applyNumberFormat="1" applyFont="1" applyFill="1" applyBorder="1" applyAlignment="1">
      <alignment horizontal="center" vertical="center" shrinkToFit="1"/>
    </xf>
    <xf numFmtId="4" fontId="3" fillId="35" borderId="25" xfId="33" applyNumberFormat="1" applyFont="1" applyFill="1" applyBorder="1" applyAlignment="1">
      <alignment horizontal="center" vertical="center" shrinkToFit="1"/>
      <protection/>
    </xf>
    <xf numFmtId="4" fontId="12" fillId="35" borderId="25" xfId="33" applyNumberFormat="1" applyFont="1" applyFill="1" applyBorder="1" applyAlignment="1">
      <alignment horizontal="center" vertical="center" shrinkToFit="1"/>
      <protection/>
    </xf>
    <xf numFmtId="4" fontId="3" fillId="35" borderId="25" xfId="33" applyNumberFormat="1" applyFont="1" applyFill="1" applyBorder="1" applyAlignment="1">
      <alignment horizontal="left" vertical="center" wrapText="1" shrinkToFit="1"/>
      <protection/>
    </xf>
    <xf numFmtId="0" fontId="12" fillId="35" borderId="16" xfId="0" applyFont="1" applyFill="1" applyBorder="1" applyAlignment="1">
      <alignment horizontal="center" vertical="center" shrinkToFit="1"/>
    </xf>
    <xf numFmtId="4" fontId="9" fillId="35" borderId="16" xfId="33" applyNumberFormat="1" applyFont="1" applyFill="1" applyBorder="1" applyAlignment="1">
      <alignment horizontal="center" vertical="center" shrinkToFit="1"/>
      <protection/>
    </xf>
    <xf numFmtId="4" fontId="12" fillId="35" borderId="16" xfId="33" applyNumberFormat="1" applyFont="1" applyFill="1" applyBorder="1" applyAlignment="1">
      <alignment horizontal="center" vertical="center" wrapText="1" shrinkToFit="1"/>
      <protection/>
    </xf>
    <xf numFmtId="0" fontId="9" fillId="35" borderId="18" xfId="0" applyFont="1" applyFill="1" applyBorder="1" applyAlignment="1">
      <alignment horizontal="left" vertical="center" wrapText="1" shrinkToFit="1"/>
    </xf>
    <xf numFmtId="49" fontId="9" fillId="35" borderId="20" xfId="0" applyNumberFormat="1" applyFont="1" applyFill="1" applyBorder="1" applyAlignment="1">
      <alignment horizontal="center" vertical="center" shrinkToFit="1"/>
    </xf>
    <xf numFmtId="0" fontId="9" fillId="35" borderId="20" xfId="0" applyFont="1" applyFill="1" applyBorder="1" applyAlignment="1">
      <alignment horizontal="left" vertical="center" wrapText="1" shrinkToFit="1"/>
    </xf>
    <xf numFmtId="0" fontId="12" fillId="35" borderId="26" xfId="0" applyFont="1" applyFill="1" applyBorder="1" applyAlignment="1">
      <alignment horizontal="center" vertical="center" shrinkToFit="1"/>
    </xf>
    <xf numFmtId="4" fontId="12" fillId="35" borderId="26" xfId="0" applyNumberFormat="1" applyFont="1" applyFill="1" applyBorder="1" applyAlignment="1">
      <alignment horizontal="center" vertical="center" shrinkToFit="1"/>
    </xf>
    <xf numFmtId="4" fontId="9" fillId="35" borderId="20" xfId="33" applyNumberFormat="1" applyFont="1" applyFill="1" applyBorder="1" applyAlignment="1">
      <alignment horizontal="center" vertical="center" shrinkToFit="1"/>
      <protection/>
    </xf>
    <xf numFmtId="4" fontId="12" fillId="35" borderId="27" xfId="33" applyNumberFormat="1" applyFont="1" applyFill="1" applyBorder="1" applyAlignment="1">
      <alignment horizontal="center" vertical="center" wrapText="1" shrinkToFit="1"/>
      <protection/>
    </xf>
    <xf numFmtId="49" fontId="9" fillId="35" borderId="19" xfId="0" applyNumberFormat="1" applyFont="1" applyFill="1" applyBorder="1" applyAlignment="1">
      <alignment horizontal="center" vertical="center" shrinkToFit="1"/>
    </xf>
    <xf numFmtId="0" fontId="9" fillId="35" borderId="28" xfId="0" applyFont="1" applyFill="1" applyBorder="1" applyAlignment="1">
      <alignment vertical="center" wrapText="1" shrinkToFit="1"/>
    </xf>
    <xf numFmtId="0" fontId="12" fillId="35" borderId="19" xfId="0" applyFont="1" applyFill="1" applyBorder="1" applyAlignment="1">
      <alignment wrapText="1" shrinkToFit="1"/>
    </xf>
    <xf numFmtId="49" fontId="12" fillId="35" borderId="19" xfId="0" applyNumberFormat="1" applyFont="1" applyFill="1" applyBorder="1" applyAlignment="1">
      <alignment horizontal="center" shrinkToFit="1"/>
    </xf>
    <xf numFmtId="4" fontId="12" fillId="35" borderId="19" xfId="0" applyNumberFormat="1" applyFont="1" applyFill="1" applyBorder="1" applyAlignment="1">
      <alignment horizontal="center" shrinkToFit="1"/>
    </xf>
    <xf numFmtId="4" fontId="12" fillId="35" borderId="19" xfId="0" applyNumberFormat="1" applyFont="1" applyFill="1" applyBorder="1" applyAlignment="1">
      <alignment wrapText="1" shrinkToFit="1"/>
    </xf>
    <xf numFmtId="0" fontId="12" fillId="35" borderId="19" xfId="0" applyFont="1" applyFill="1" applyBorder="1" applyAlignment="1">
      <alignment horizontal="center" shrinkToFit="1"/>
    </xf>
    <xf numFmtId="4" fontId="12" fillId="35" borderId="19" xfId="0" applyNumberFormat="1" applyFont="1" applyFill="1" applyBorder="1" applyAlignment="1">
      <alignment horizontal="center" vertical="center" shrinkToFit="1"/>
    </xf>
    <xf numFmtId="4" fontId="11" fillId="35" borderId="19" xfId="0" applyNumberFormat="1" applyFont="1" applyFill="1" applyBorder="1" applyAlignment="1">
      <alignment horizontal="center" vertical="center" shrinkToFit="1"/>
    </xf>
    <xf numFmtId="0" fontId="12" fillId="35" borderId="16" xfId="0" applyFont="1" applyFill="1" applyBorder="1" applyAlignment="1">
      <alignment wrapText="1" shrinkToFit="1"/>
    </xf>
    <xf numFmtId="49" fontId="12" fillId="35" borderId="27" xfId="0" applyNumberFormat="1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left" vertical="center" wrapText="1" shrinkToFit="1"/>
    </xf>
    <xf numFmtId="0" fontId="2" fillId="35" borderId="10" xfId="0" applyFont="1" applyFill="1" applyBorder="1" applyAlignment="1">
      <alignment vertical="center"/>
    </xf>
    <xf numFmtId="2" fontId="12" fillId="35" borderId="19" xfId="0" applyNumberFormat="1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wrapText="1" shrinkToFit="1"/>
    </xf>
    <xf numFmtId="49" fontId="12" fillId="35" borderId="19" xfId="0" applyNumberFormat="1" applyFont="1" applyFill="1" applyBorder="1" applyAlignment="1">
      <alignment horizontal="center" vertical="center" shrinkToFit="1"/>
    </xf>
    <xf numFmtId="0" fontId="12" fillId="35" borderId="29" xfId="0" applyFont="1" applyFill="1" applyBorder="1" applyAlignment="1">
      <alignment vertical="center" wrapText="1" shrinkToFit="1"/>
    </xf>
    <xf numFmtId="0" fontId="12" fillId="35" borderId="10" xfId="0" applyFont="1" applyFill="1" applyBorder="1" applyAlignment="1">
      <alignment vertical="center" shrinkToFit="1"/>
    </xf>
    <xf numFmtId="0" fontId="12" fillId="35" borderId="29" xfId="0" applyFont="1" applyFill="1" applyBorder="1" applyAlignment="1">
      <alignment horizontal="left" wrapText="1" shrinkToFit="1"/>
    </xf>
    <xf numFmtId="0" fontId="3" fillId="35" borderId="20" xfId="0" applyFont="1" applyFill="1" applyBorder="1" applyAlignment="1">
      <alignment vertical="center" wrapText="1" shrinkToFit="1"/>
    </xf>
    <xf numFmtId="4" fontId="12" fillId="35" borderId="23" xfId="33" applyNumberFormat="1" applyFont="1" applyFill="1" applyBorder="1" applyAlignment="1">
      <alignment horizontal="center" vertical="center" shrinkToFit="1"/>
      <protection/>
    </xf>
    <xf numFmtId="49" fontId="12" fillId="35" borderId="0" xfId="0" applyNumberFormat="1" applyFont="1" applyFill="1" applyAlignment="1">
      <alignment horizontal="center" shrinkToFit="1"/>
    </xf>
    <xf numFmtId="0" fontId="12" fillId="35" borderId="0" xfId="0" applyFont="1" applyFill="1" applyAlignment="1">
      <alignment wrapText="1" shrinkToFit="1"/>
    </xf>
    <xf numFmtId="0" fontId="12" fillId="35" borderId="0" xfId="0" applyFont="1" applyFill="1" applyAlignment="1">
      <alignment shrinkToFit="1"/>
    </xf>
    <xf numFmtId="2" fontId="14" fillId="35" borderId="2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49" fontId="9" fillId="35" borderId="30" xfId="0" applyNumberFormat="1" applyFont="1" applyFill="1" applyBorder="1" applyAlignment="1">
      <alignment horizontal="center" vertical="center" shrinkToFit="1"/>
    </xf>
    <xf numFmtId="0" fontId="9" fillId="35" borderId="31" xfId="0" applyFont="1" applyFill="1" applyBorder="1" applyAlignment="1">
      <alignment horizontal="center" vertical="center" wrapText="1" shrinkToFit="1"/>
    </xf>
    <xf numFmtId="0" fontId="9" fillId="35" borderId="32" xfId="0" applyFont="1" applyFill="1" applyBorder="1" applyAlignment="1">
      <alignment horizontal="center" vertical="center" shrinkToFit="1"/>
    </xf>
    <xf numFmtId="2" fontId="9" fillId="35" borderId="33" xfId="0" applyNumberFormat="1" applyFont="1" applyFill="1" applyBorder="1" applyAlignment="1">
      <alignment horizontal="center" vertical="center" shrinkToFit="1"/>
    </xf>
    <xf numFmtId="0" fontId="9" fillId="35" borderId="33" xfId="0" applyFont="1" applyFill="1" applyBorder="1" applyAlignment="1">
      <alignment horizontal="center" vertical="center" shrinkToFit="1"/>
    </xf>
    <xf numFmtId="0" fontId="6" fillId="35" borderId="33" xfId="0" applyFont="1" applyFill="1" applyBorder="1" applyAlignment="1">
      <alignment horizontal="center" vertical="center" wrapText="1" shrinkToFit="1"/>
    </xf>
    <xf numFmtId="0" fontId="9" fillId="35" borderId="34" xfId="0" applyFont="1" applyFill="1" applyBorder="1" applyAlignment="1">
      <alignment horizontal="center" vertical="center" shrinkToFit="1"/>
    </xf>
    <xf numFmtId="0" fontId="9" fillId="35" borderId="0" xfId="0" applyFont="1" applyFill="1" applyBorder="1" applyAlignment="1">
      <alignment horizontal="center" wrapText="1" shrinkToFit="1"/>
    </xf>
    <xf numFmtId="0" fontId="9" fillId="35" borderId="27" xfId="0" applyFont="1" applyFill="1" applyBorder="1" applyAlignment="1">
      <alignment horizontal="center" shrinkToFit="1"/>
    </xf>
    <xf numFmtId="2" fontId="9" fillId="35" borderId="26" xfId="0" applyNumberFormat="1" applyFont="1" applyFill="1" applyBorder="1" applyAlignment="1">
      <alignment horizontal="center" shrinkToFit="1"/>
    </xf>
    <xf numFmtId="0" fontId="9" fillId="35" borderId="26" xfId="0" applyFont="1" applyFill="1" applyBorder="1" applyAlignment="1">
      <alignment horizontal="center" shrinkToFit="1"/>
    </xf>
    <xf numFmtId="0" fontId="12" fillId="35" borderId="26" xfId="0" applyFont="1" applyFill="1" applyBorder="1" applyAlignment="1">
      <alignment shrinkToFit="1"/>
    </xf>
    <xf numFmtId="49" fontId="12" fillId="35" borderId="35" xfId="0" applyNumberFormat="1" applyFont="1" applyFill="1" applyBorder="1" applyAlignment="1">
      <alignment horizontal="center" shrinkToFit="1"/>
    </xf>
    <xf numFmtId="0" fontId="10" fillId="35" borderId="36" xfId="0" applyFont="1" applyFill="1" applyBorder="1" applyAlignment="1">
      <alignment horizontal="center" shrinkToFit="1"/>
    </xf>
    <xf numFmtId="0" fontId="17" fillId="35" borderId="37" xfId="0" applyFont="1" applyFill="1" applyBorder="1" applyAlignment="1">
      <alignment horizontal="center" shrinkToFit="1"/>
    </xf>
    <xf numFmtId="49" fontId="12" fillId="35" borderId="30" xfId="0" applyNumberFormat="1" applyFont="1" applyFill="1" applyBorder="1" applyAlignment="1">
      <alignment horizontal="center" shrinkToFit="1"/>
    </xf>
    <xf numFmtId="0" fontId="12" fillId="35" borderId="31" xfId="0" applyFont="1" applyFill="1" applyBorder="1" applyAlignment="1">
      <alignment horizontal="left" wrapText="1" shrinkToFit="1"/>
    </xf>
    <xf numFmtId="4" fontId="12" fillId="35" borderId="32" xfId="0" applyNumberFormat="1" applyFont="1" applyFill="1" applyBorder="1" applyAlignment="1">
      <alignment horizontal="center" shrinkToFit="1"/>
    </xf>
    <xf numFmtId="4" fontId="12" fillId="35" borderId="38" xfId="0" applyNumberFormat="1" applyFont="1" applyFill="1" applyBorder="1" applyAlignment="1">
      <alignment horizontal="center" shrinkToFit="1"/>
    </xf>
    <xf numFmtId="4" fontId="12" fillId="35" borderId="38" xfId="0" applyNumberFormat="1" applyFont="1" applyFill="1" applyBorder="1" applyAlignment="1">
      <alignment horizontal="center" vertical="center" shrinkToFit="1"/>
    </xf>
    <xf numFmtId="4" fontId="12" fillId="35" borderId="39" xfId="0" applyNumberFormat="1" applyFont="1" applyFill="1" applyBorder="1" applyAlignment="1">
      <alignment horizontal="center" shrinkToFit="1"/>
    </xf>
    <xf numFmtId="4" fontId="12" fillId="35" borderId="40" xfId="0" applyNumberFormat="1" applyFont="1" applyFill="1" applyBorder="1" applyAlignment="1">
      <alignment horizontal="center" shrinkToFit="1"/>
    </xf>
    <xf numFmtId="4" fontId="12" fillId="35" borderId="16" xfId="0" applyNumberFormat="1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wrapText="1" shrinkToFit="1"/>
    </xf>
    <xf numFmtId="4" fontId="12" fillId="35" borderId="18" xfId="0" applyNumberFormat="1" applyFont="1" applyFill="1" applyBorder="1" applyAlignment="1">
      <alignment horizontal="center" vertical="center" wrapText="1" shrinkToFit="1"/>
    </xf>
    <xf numFmtId="4" fontId="12" fillId="35" borderId="26" xfId="0" applyNumberFormat="1" applyFont="1" applyFill="1" applyBorder="1" applyAlignment="1">
      <alignment horizontal="center" vertical="center" wrapText="1" shrinkToFit="1"/>
    </xf>
    <xf numFmtId="4" fontId="12" fillId="35" borderId="19" xfId="0" applyNumberFormat="1" applyFont="1" applyFill="1" applyBorder="1" applyAlignment="1">
      <alignment shrinkToFit="1"/>
    </xf>
    <xf numFmtId="4" fontId="12" fillId="35" borderId="27" xfId="0" applyNumberFormat="1" applyFont="1" applyFill="1" applyBorder="1" applyAlignment="1">
      <alignment horizontal="center" shrinkToFit="1"/>
    </xf>
    <xf numFmtId="0" fontId="2" fillId="35" borderId="19" xfId="0" applyFont="1" applyFill="1" applyBorder="1" applyAlignment="1">
      <alignment wrapText="1"/>
    </xf>
    <xf numFmtId="0" fontId="2" fillId="35" borderId="19" xfId="0" applyFont="1" applyFill="1" applyBorder="1" applyAlignment="1">
      <alignment/>
    </xf>
    <xf numFmtId="0" fontId="12" fillId="35" borderId="17" xfId="0" applyFont="1" applyFill="1" applyBorder="1" applyAlignment="1">
      <alignment horizontal="center" vertical="center" wrapText="1" shrinkToFit="1"/>
    </xf>
    <xf numFmtId="0" fontId="2" fillId="35" borderId="19" xfId="0" applyFont="1" applyFill="1" applyBorder="1" applyAlignment="1">
      <alignment horizontal="center" vertical="center" wrapText="1" shrinkToFit="1"/>
    </xf>
    <xf numFmtId="3" fontId="12" fillId="35" borderId="18" xfId="0" applyNumberFormat="1" applyFont="1" applyFill="1" applyBorder="1" applyAlignment="1">
      <alignment horizontal="center" vertical="center" shrinkToFit="1"/>
    </xf>
    <xf numFmtId="4" fontId="12" fillId="35" borderId="16" xfId="0" applyNumberFormat="1" applyFont="1" applyFill="1" applyBorder="1" applyAlignment="1">
      <alignment horizontal="center" vertical="center" wrapText="1" shrinkToFit="1"/>
    </xf>
    <xf numFmtId="0" fontId="9" fillId="35" borderId="17" xfId="0" applyFont="1" applyFill="1" applyBorder="1" applyAlignment="1">
      <alignment horizontal="center" wrapText="1" shrinkToFit="1"/>
    </xf>
    <xf numFmtId="2" fontId="9" fillId="35" borderId="18" xfId="0" applyNumberFormat="1" applyFont="1" applyFill="1" applyBorder="1" applyAlignment="1">
      <alignment horizontal="center" shrinkToFit="1"/>
    </xf>
    <xf numFmtId="4" fontId="9" fillId="35" borderId="18" xfId="0" applyNumberFormat="1" applyFont="1" applyFill="1" applyBorder="1" applyAlignment="1">
      <alignment horizontal="center" shrinkToFit="1"/>
    </xf>
    <xf numFmtId="4" fontId="9" fillId="35" borderId="18" xfId="0" applyNumberFormat="1" applyFont="1" applyFill="1" applyBorder="1" applyAlignment="1">
      <alignment horizontal="center" vertical="center" shrinkToFit="1"/>
    </xf>
    <xf numFmtId="0" fontId="12" fillId="35" borderId="18" xfId="0" applyFont="1" applyFill="1" applyBorder="1" applyAlignment="1">
      <alignment wrapText="1" shrinkToFit="1"/>
    </xf>
    <xf numFmtId="0" fontId="12" fillId="35" borderId="18" xfId="0" applyFont="1" applyFill="1" applyBorder="1" applyAlignment="1">
      <alignment shrinkToFit="1"/>
    </xf>
    <xf numFmtId="0" fontId="9" fillId="35" borderId="19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center" vertical="center" wrapText="1" shrinkToFit="1"/>
    </xf>
    <xf numFmtId="4" fontId="18" fillId="35" borderId="18" xfId="0" applyNumberFormat="1" applyFont="1" applyFill="1" applyBorder="1" applyAlignment="1">
      <alignment horizontal="center" vertical="center" shrinkToFit="1"/>
    </xf>
    <xf numFmtId="0" fontId="12" fillId="35" borderId="18" xfId="0" applyFont="1" applyFill="1" applyBorder="1" applyAlignment="1">
      <alignment horizontal="left" wrapText="1" shrinkToFit="1"/>
    </xf>
    <xf numFmtId="0" fontId="12" fillId="35" borderId="17" xfId="0" applyFont="1" applyFill="1" applyBorder="1" applyAlignment="1">
      <alignment horizontal="left" vertical="center" wrapText="1" shrinkToFit="1"/>
    </xf>
    <xf numFmtId="0" fontId="12" fillId="35" borderId="22" xfId="0" applyFont="1" applyFill="1" applyBorder="1" applyAlignment="1">
      <alignment horizontal="center" vertical="center" shrinkToFit="1"/>
    </xf>
    <xf numFmtId="0" fontId="12" fillId="35" borderId="27" xfId="0" applyFont="1" applyFill="1" applyBorder="1" applyAlignment="1">
      <alignment horizontal="center" shrinkToFit="1"/>
    </xf>
    <xf numFmtId="2" fontId="12" fillId="35" borderId="18" xfId="0" applyNumberFormat="1" applyFont="1" applyFill="1" applyBorder="1" applyAlignment="1">
      <alignment horizontal="center" vertical="center" shrinkToFit="1"/>
    </xf>
    <xf numFmtId="0" fontId="3" fillId="35" borderId="19" xfId="0" applyFont="1" applyFill="1" applyBorder="1" applyAlignment="1">
      <alignment horizontal="center" shrinkToFit="1"/>
    </xf>
    <xf numFmtId="4" fontId="12" fillId="35" borderId="21" xfId="0" applyNumberFormat="1" applyFont="1" applyFill="1" applyBorder="1" applyAlignment="1">
      <alignment horizontal="center" shrinkToFit="1"/>
    </xf>
    <xf numFmtId="4" fontId="9" fillId="35" borderId="22" xfId="33" applyNumberFormat="1" applyFont="1" applyFill="1" applyBorder="1" applyAlignment="1">
      <alignment horizontal="center" vertical="center" shrinkToFit="1"/>
      <protection/>
    </xf>
    <xf numFmtId="4" fontId="12" fillId="35" borderId="20" xfId="33" applyNumberFormat="1" applyFont="1" applyFill="1" applyBorder="1" applyAlignment="1">
      <alignment horizontal="center" vertical="center" wrapText="1" shrinkToFit="1"/>
      <protection/>
    </xf>
    <xf numFmtId="0" fontId="12" fillId="35" borderId="24" xfId="0" applyFont="1" applyFill="1" applyBorder="1" applyAlignment="1">
      <alignment horizontal="left" vertical="center" wrapText="1" shrinkToFit="1"/>
    </xf>
    <xf numFmtId="0" fontId="12" fillId="35" borderId="25" xfId="0" applyFont="1" applyFill="1" applyBorder="1" applyAlignment="1">
      <alignment horizontal="center" vertical="center" shrinkToFit="1"/>
    </xf>
    <xf numFmtId="4" fontId="12" fillId="35" borderId="24" xfId="0" applyNumberFormat="1" applyFont="1" applyFill="1" applyBorder="1" applyAlignment="1">
      <alignment horizontal="center" vertical="center" shrinkToFit="1"/>
    </xf>
    <xf numFmtId="4" fontId="12" fillId="35" borderId="25" xfId="33" applyNumberFormat="1" applyFont="1" applyFill="1" applyBorder="1" applyAlignment="1">
      <alignment horizontal="center" vertical="center" wrapText="1" shrinkToFit="1"/>
      <protection/>
    </xf>
    <xf numFmtId="4" fontId="12" fillId="35" borderId="41" xfId="0" applyNumberFormat="1" applyFont="1" applyFill="1" applyBorder="1" applyAlignment="1">
      <alignment horizontal="center" vertical="center" shrinkToFit="1"/>
    </xf>
    <xf numFmtId="0" fontId="12" fillId="35" borderId="19" xfId="0" applyFont="1" applyFill="1" applyBorder="1" applyAlignment="1">
      <alignment shrinkToFit="1"/>
    </xf>
    <xf numFmtId="4" fontId="9" fillId="35" borderId="19" xfId="0" applyNumberFormat="1" applyFont="1" applyFill="1" applyBorder="1" applyAlignment="1">
      <alignment horizontal="center" vertical="center" shrinkToFit="1"/>
    </xf>
    <xf numFmtId="0" fontId="12" fillId="35" borderId="16" xfId="0" applyFont="1" applyFill="1" applyBorder="1" applyAlignment="1">
      <alignment shrinkToFit="1"/>
    </xf>
    <xf numFmtId="0" fontId="12" fillId="35" borderId="19" xfId="0" applyFont="1" applyFill="1" applyBorder="1" applyAlignment="1">
      <alignment horizontal="center" vertical="center" shrinkToFit="1"/>
    </xf>
    <xf numFmtId="0" fontId="12" fillId="35" borderId="0" xfId="0" applyFont="1" applyFill="1" applyAlignment="1">
      <alignment horizontal="center" vertical="center" shrinkToFit="1"/>
    </xf>
    <xf numFmtId="0" fontId="0" fillId="35" borderId="0" xfId="0" applyFill="1" applyAlignment="1">
      <alignment/>
    </xf>
    <xf numFmtId="2" fontId="15" fillId="35" borderId="25" xfId="0" applyNumberFormat="1" applyFont="1" applyFill="1" applyBorder="1" applyAlignment="1">
      <alignment horizontal="center" vertical="center" shrinkToFit="1"/>
    </xf>
    <xf numFmtId="0" fontId="9" fillId="35" borderId="42" xfId="0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left" vertical="center" wrapText="1" shrinkToFit="1"/>
    </xf>
    <xf numFmtId="0" fontId="12" fillId="33" borderId="0" xfId="0" applyFont="1" applyFill="1" applyBorder="1" applyAlignment="1">
      <alignment horizontal="center" shrinkToFit="1"/>
    </xf>
    <xf numFmtId="49" fontId="12" fillId="35" borderId="19" xfId="0" applyNumberFormat="1" applyFont="1" applyFill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9" fillId="35" borderId="19" xfId="0" applyFont="1" applyFill="1" applyBorder="1" applyAlignment="1">
      <alignment horizontal="center" vertical="center" wrapText="1" shrinkToFit="1"/>
    </xf>
    <xf numFmtId="2" fontId="7" fillId="33" borderId="43" xfId="0" applyNumberFormat="1" applyFont="1" applyFill="1" applyBorder="1" applyAlignment="1">
      <alignment horizontal="center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8" width="11.421875" style="0" customWidth="1"/>
    <col min="9" max="30" width="11.421875" style="27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37">
      <selection activeCell="I9" sqref="I9"/>
    </sheetView>
  </sheetViews>
  <sheetFormatPr defaultColWidth="11.421875" defaultRowHeight="12.75"/>
  <cols>
    <col min="1" max="1" width="11.421875" style="1" customWidth="1"/>
    <col min="2" max="2" width="54.00390625" style="4" customWidth="1"/>
    <col min="3" max="3" width="18.140625" style="3" customWidth="1"/>
    <col min="4" max="4" width="15.140625" style="3" customWidth="1"/>
    <col min="5" max="5" width="16.28125" style="3" customWidth="1"/>
    <col min="6" max="6" width="22.00390625" style="3" customWidth="1"/>
    <col min="7" max="7" width="17.57421875" style="4" customWidth="1"/>
    <col min="8" max="8" width="20.7109375" style="3" customWidth="1"/>
    <col min="9" max="9" width="12.57421875" style="3" customWidth="1"/>
    <col min="10" max="10" width="11.00390625" style="3" customWidth="1"/>
    <col min="11" max="11" width="12.7109375" style="3" customWidth="1"/>
    <col min="12" max="30" width="11.00390625" style="3" customWidth="1"/>
    <col min="31" max="16384" width="11.421875" style="3" customWidth="1"/>
  </cols>
  <sheetData>
    <row r="1" spans="1:8" ht="37.5" customHeight="1">
      <c r="A1" s="272" t="s">
        <v>0</v>
      </c>
      <c r="B1" s="272"/>
      <c r="C1" s="272"/>
      <c r="D1" s="272"/>
      <c r="E1" s="272"/>
      <c r="F1" s="272"/>
      <c r="G1" s="272"/>
      <c r="H1" s="272"/>
    </row>
    <row r="2" spans="1:8" ht="47.25" customHeight="1">
      <c r="A2" s="209" t="s">
        <v>1</v>
      </c>
      <c r="B2" s="210" t="s">
        <v>2</v>
      </c>
      <c r="C2" s="211" t="s">
        <v>3</v>
      </c>
      <c r="D2" s="212" t="s">
        <v>4</v>
      </c>
      <c r="E2" s="213" t="s">
        <v>5</v>
      </c>
      <c r="F2" s="213"/>
      <c r="G2" s="214" t="s">
        <v>6</v>
      </c>
      <c r="H2" s="215" t="s">
        <v>7</v>
      </c>
    </row>
    <row r="3" spans="1:8" ht="18.75">
      <c r="A3" s="123"/>
      <c r="B3" s="216"/>
      <c r="C3" s="217"/>
      <c r="D3" s="218" t="s">
        <v>8</v>
      </c>
      <c r="E3" s="219" t="s">
        <v>8</v>
      </c>
      <c r="H3" s="220"/>
    </row>
    <row r="4" spans="1:8" ht="25.5" customHeight="1">
      <c r="A4" s="221"/>
      <c r="B4" s="273" t="s">
        <v>9</v>
      </c>
      <c r="C4" s="273"/>
      <c r="D4" s="273"/>
      <c r="E4" s="273"/>
      <c r="F4" s="222" t="s">
        <v>10</v>
      </c>
      <c r="G4" s="223" t="s">
        <v>11</v>
      </c>
      <c r="H4" s="223" t="s">
        <v>12</v>
      </c>
    </row>
    <row r="5" spans="1:9" ht="18.75">
      <c r="A5" s="224" t="s">
        <v>13</v>
      </c>
      <c r="B5" s="225" t="s">
        <v>14</v>
      </c>
      <c r="C5" s="226">
        <v>3500</v>
      </c>
      <c r="D5" s="227">
        <f>100*3500</f>
        <v>350000</v>
      </c>
      <c r="E5" s="228">
        <f>D5*12</f>
        <v>4200000</v>
      </c>
      <c r="F5" s="229">
        <v>313404.86</v>
      </c>
      <c r="G5" s="230">
        <f>H13</f>
        <v>5584092.250000001</v>
      </c>
      <c r="H5" s="230">
        <v>1324612.5899999999</v>
      </c>
      <c r="I5" s="58"/>
    </row>
    <row r="6" spans="1:9" ht="18.75">
      <c r="A6" s="123">
        <v>1</v>
      </c>
      <c r="B6" s="107" t="s">
        <v>15</v>
      </c>
      <c r="C6" s="129">
        <v>39.77</v>
      </c>
      <c r="D6" s="132">
        <f>C6*1000</f>
        <v>39770</v>
      </c>
      <c r="E6" s="132">
        <f>D6*12</f>
        <v>477240</v>
      </c>
      <c r="F6" s="153"/>
      <c r="G6" s="231">
        <v>1067439.61</v>
      </c>
      <c r="H6" s="231">
        <v>992722</v>
      </c>
      <c r="I6" s="58"/>
    </row>
    <row r="7" spans="1:8" ht="18.75">
      <c r="A7" s="123"/>
      <c r="B7" s="232" t="s">
        <v>16</v>
      </c>
      <c r="C7" s="129"/>
      <c r="D7" s="132"/>
      <c r="E7" s="102"/>
      <c r="F7" s="102"/>
      <c r="G7" s="233" t="s">
        <v>17</v>
      </c>
      <c r="H7" s="102" t="s">
        <v>18</v>
      </c>
    </row>
    <row r="8" spans="1:8" ht="18.75">
      <c r="A8" s="123"/>
      <c r="B8" s="232"/>
      <c r="C8" s="129"/>
      <c r="D8" s="132"/>
      <c r="E8" s="102"/>
      <c r="F8" s="102"/>
      <c r="G8" s="234"/>
      <c r="H8" s="171"/>
    </row>
    <row r="9" spans="1:10" ht="18.75">
      <c r="A9" s="123">
        <v>2</v>
      </c>
      <c r="B9" s="107" t="s">
        <v>19</v>
      </c>
      <c r="C9" s="129"/>
      <c r="D9" s="132">
        <v>132500</v>
      </c>
      <c r="E9" s="102"/>
      <c r="F9" s="153"/>
      <c r="G9" s="179"/>
      <c r="H9" s="235"/>
      <c r="J9" s="58"/>
    </row>
    <row r="10" spans="1:10" ht="18.75">
      <c r="A10" s="123"/>
      <c r="B10" s="232" t="s">
        <v>20</v>
      </c>
      <c r="C10" s="236"/>
      <c r="D10" s="132" t="s">
        <v>21</v>
      </c>
      <c r="E10" s="102"/>
      <c r="F10" s="153"/>
      <c r="G10" s="237"/>
      <c r="H10" s="238"/>
      <c r="J10" s="58"/>
    </row>
    <row r="11" spans="1:8" s="9" customFormat="1" ht="25.5">
      <c r="A11" s="155"/>
      <c r="B11" s="239" t="s">
        <v>22</v>
      </c>
      <c r="C11" s="240" t="s">
        <v>23</v>
      </c>
      <c r="D11" s="102">
        <f>E11/12</f>
        <v>159458.75</v>
      </c>
      <c r="E11" s="102">
        <v>1913505</v>
      </c>
      <c r="F11" s="241"/>
      <c r="G11" s="242">
        <v>1928112.06</v>
      </c>
      <c r="H11" s="102">
        <v>1913505</v>
      </c>
    </row>
    <row r="12" spans="1:8" ht="18.75">
      <c r="A12" s="94"/>
      <c r="B12" s="243" t="s">
        <v>24</v>
      </c>
      <c r="C12" s="144"/>
      <c r="D12" s="244"/>
      <c r="E12" s="245"/>
      <c r="F12" s="246"/>
      <c r="G12" s="247"/>
      <c r="H12" s="248"/>
    </row>
    <row r="13" spans="1:9" ht="25.5">
      <c r="A13" s="94"/>
      <c r="B13" s="274" t="s">
        <v>25</v>
      </c>
      <c r="C13" s="274"/>
      <c r="D13" s="274"/>
      <c r="E13" s="274"/>
      <c r="F13" s="98" t="s">
        <v>26</v>
      </c>
      <c r="G13" s="250" t="s">
        <v>27</v>
      </c>
      <c r="H13" s="251">
        <f>G11+G6+G17+G18+G26+G28+G31+G34+G40+G41+G42+G43</f>
        <v>5584092.250000001</v>
      </c>
      <c r="I13" s="58"/>
    </row>
    <row r="14" spans="1:8" ht="25.5" customHeight="1">
      <c r="A14" s="94"/>
      <c r="B14" s="95" t="s">
        <v>28</v>
      </c>
      <c r="C14" s="249"/>
      <c r="D14" s="249"/>
      <c r="E14" s="97"/>
      <c r="F14" s="98"/>
      <c r="G14" s="99"/>
      <c r="H14" s="98"/>
    </row>
    <row r="15" spans="1:8" ht="18.75">
      <c r="A15" s="94" t="s">
        <v>29</v>
      </c>
      <c r="B15" s="252" t="s">
        <v>30</v>
      </c>
      <c r="C15" s="135"/>
      <c r="D15" s="132">
        <v>2900</v>
      </c>
      <c r="E15" s="132">
        <f>D15*12</f>
        <v>34800</v>
      </c>
      <c r="F15" s="103">
        <f>D15/100</f>
        <v>29</v>
      </c>
      <c r="G15" s="111"/>
      <c r="H15" s="102"/>
    </row>
    <row r="16" spans="1:9" ht="18.75">
      <c r="A16" s="94" t="s">
        <v>31</v>
      </c>
      <c r="B16" s="252" t="s">
        <v>32</v>
      </c>
      <c r="C16" s="135"/>
      <c r="D16" s="132">
        <v>21600</v>
      </c>
      <c r="E16" s="132">
        <f>D16*12</f>
        <v>259200</v>
      </c>
      <c r="F16" s="103">
        <v>216</v>
      </c>
      <c r="G16" s="116"/>
      <c r="H16" s="102"/>
      <c r="I16" s="106"/>
    </row>
    <row r="17" spans="1:9" ht="18.75">
      <c r="A17" s="94">
        <v>3</v>
      </c>
      <c r="B17" s="107" t="s">
        <v>33</v>
      </c>
      <c r="C17" s="108" t="s">
        <v>34</v>
      </c>
      <c r="D17" s="109">
        <v>35765</v>
      </c>
      <c r="E17" s="110">
        <f>12*D17</f>
        <v>429180</v>
      </c>
      <c r="F17" s="103">
        <f>D17/100</f>
        <v>357.65</v>
      </c>
      <c r="G17" s="111">
        <v>223170</v>
      </c>
      <c r="H17" s="102"/>
      <c r="I17" s="106"/>
    </row>
    <row r="18" spans="1:9" s="9" customFormat="1" ht="28.5" customHeight="1">
      <c r="A18" s="94">
        <v>4</v>
      </c>
      <c r="B18" s="112" t="s">
        <v>35</v>
      </c>
      <c r="C18" s="113"/>
      <c r="D18" s="110">
        <f>E18/12</f>
        <v>146510</v>
      </c>
      <c r="E18" s="114">
        <f>E21+E22+E23+E24+E25+E20</f>
        <v>1758120</v>
      </c>
      <c r="F18" s="115">
        <f>D18/100</f>
        <v>1465.1</v>
      </c>
      <c r="G18" s="116">
        <f>610129.68+184126.55</f>
        <v>794256.23</v>
      </c>
      <c r="H18" s="132"/>
      <c r="I18" s="117"/>
    </row>
    <row r="19" spans="1:9" s="9" customFormat="1" ht="18.75" customHeight="1">
      <c r="A19" s="100"/>
      <c r="B19" s="253" t="s">
        <v>36</v>
      </c>
      <c r="C19" s="119" t="s">
        <v>37</v>
      </c>
      <c r="D19" s="120" t="s">
        <v>38</v>
      </c>
      <c r="E19" s="121"/>
      <c r="F19" s="122"/>
      <c r="G19" s="111"/>
      <c r="H19" s="102"/>
      <c r="I19" s="117"/>
    </row>
    <row r="20" spans="1:12" ht="18.75">
      <c r="A20" s="123" t="s">
        <v>39</v>
      </c>
      <c r="B20" s="107" t="s">
        <v>40</v>
      </c>
      <c r="C20" s="124">
        <f>D20*0.87</f>
        <v>35017.5</v>
      </c>
      <c r="D20" s="110">
        <v>40250</v>
      </c>
      <c r="E20" s="114">
        <f aca="true" t="shared" si="0" ref="E20:E26">12*D20</f>
        <v>483000</v>
      </c>
      <c r="F20" s="122"/>
      <c r="G20" s="111"/>
      <c r="H20" s="102"/>
      <c r="K20" s="58"/>
      <c r="L20" s="58"/>
    </row>
    <row r="21" spans="1:11" ht="18.75">
      <c r="A21" s="123" t="s">
        <v>41</v>
      </c>
      <c r="B21" s="107" t="s">
        <v>42</v>
      </c>
      <c r="C21" s="124">
        <f>D21*0.87</f>
        <v>35017.5</v>
      </c>
      <c r="D21" s="110">
        <v>40250</v>
      </c>
      <c r="E21" s="114">
        <f t="shared" si="0"/>
        <v>483000</v>
      </c>
      <c r="F21" s="122"/>
      <c r="G21" s="116"/>
      <c r="H21" s="98"/>
      <c r="K21" s="58"/>
    </row>
    <row r="22" spans="1:12" ht="18.75">
      <c r="A22" s="123" t="s">
        <v>43</v>
      </c>
      <c r="B22" s="107" t="s">
        <v>44</v>
      </c>
      <c r="C22" s="124">
        <f>D22*0.87</f>
        <v>8004</v>
      </c>
      <c r="D22" s="110">
        <v>9200</v>
      </c>
      <c r="E22" s="114">
        <f t="shared" si="0"/>
        <v>110400</v>
      </c>
      <c r="F22" s="122"/>
      <c r="G22" s="116"/>
      <c r="H22" s="98"/>
      <c r="K22" s="58"/>
      <c r="L22" s="58"/>
    </row>
    <row r="23" spans="1:12" ht="18.75">
      <c r="A23" s="123" t="s">
        <v>45</v>
      </c>
      <c r="B23" s="107" t="s">
        <v>46</v>
      </c>
      <c r="C23" s="124">
        <f>D23*0.87</f>
        <v>10005</v>
      </c>
      <c r="D23" s="110">
        <v>11500</v>
      </c>
      <c r="E23" s="114">
        <f t="shared" si="0"/>
        <v>138000</v>
      </c>
      <c r="F23" s="122"/>
      <c r="G23" s="116"/>
      <c r="H23" s="98"/>
      <c r="K23" s="58"/>
      <c r="L23" s="58"/>
    </row>
    <row r="24" spans="1:8" ht="18.75">
      <c r="A24" s="123" t="s">
        <v>47</v>
      </c>
      <c r="B24" s="126" t="s">
        <v>48</v>
      </c>
      <c r="C24" s="124">
        <f>D24*0.87</f>
        <v>10005</v>
      </c>
      <c r="D24" s="110">
        <v>11500</v>
      </c>
      <c r="E24" s="127">
        <f t="shared" si="0"/>
        <v>138000</v>
      </c>
      <c r="F24" s="122"/>
      <c r="G24" s="116"/>
      <c r="H24" s="254"/>
    </row>
    <row r="25" spans="1:8" ht="18.75">
      <c r="A25" s="123" t="s">
        <v>49</v>
      </c>
      <c r="B25" s="107" t="s">
        <v>50</v>
      </c>
      <c r="C25" s="128"/>
      <c r="D25" s="129">
        <f>(D21+D22+D23+D24+D20)*0.3</f>
        <v>33810</v>
      </c>
      <c r="E25" s="110">
        <f t="shared" si="0"/>
        <v>405720</v>
      </c>
      <c r="F25" s="122"/>
      <c r="G25" s="130"/>
      <c r="H25" s="98"/>
    </row>
    <row r="26" spans="1:8" ht="18.75">
      <c r="A26" s="94" t="s">
        <v>51</v>
      </c>
      <c r="B26" s="131" t="s">
        <v>52</v>
      </c>
      <c r="C26" s="255"/>
      <c r="D26" s="132">
        <v>30000</v>
      </c>
      <c r="E26" s="133">
        <f t="shared" si="0"/>
        <v>360000</v>
      </c>
      <c r="F26" s="103">
        <f>D26/100</f>
        <v>300</v>
      </c>
      <c r="G26" s="134">
        <v>362200</v>
      </c>
      <c r="H26" s="256"/>
    </row>
    <row r="27" spans="1:8" ht="24.75" customHeight="1">
      <c r="A27" s="123"/>
      <c r="B27" s="95" t="s">
        <v>53</v>
      </c>
      <c r="C27" s="180"/>
      <c r="D27" s="132"/>
      <c r="E27" s="133"/>
      <c r="F27" s="122"/>
      <c r="G27" s="134"/>
      <c r="H27" s="256"/>
    </row>
    <row r="28" spans="1:8" s="11" customFormat="1" ht="24.75" customHeight="1">
      <c r="A28" s="94" t="s">
        <v>54</v>
      </c>
      <c r="B28" s="136" t="s">
        <v>55</v>
      </c>
      <c r="C28" s="219"/>
      <c r="D28" s="129">
        <f>E28/12</f>
        <v>18333.333333333332</v>
      </c>
      <c r="E28" s="110">
        <v>220000</v>
      </c>
      <c r="F28" s="115">
        <f>D28/100</f>
        <v>183.33333333333331</v>
      </c>
      <c r="G28" s="116">
        <f>G29+G30</f>
        <v>260425.99</v>
      </c>
      <c r="H28" s="245"/>
    </row>
    <row r="29" spans="1:8" s="12" customFormat="1" ht="18.75">
      <c r="A29" s="138" t="s">
        <v>56</v>
      </c>
      <c r="B29" s="253" t="s">
        <v>57</v>
      </c>
      <c r="C29" s="257"/>
      <c r="D29" s="132">
        <f>E29/12</f>
        <v>10000</v>
      </c>
      <c r="E29" s="133">
        <v>120000</v>
      </c>
      <c r="F29" s="143"/>
      <c r="G29" s="105">
        <v>180979.99</v>
      </c>
      <c r="H29" s="141"/>
    </row>
    <row r="30" spans="1:8" s="12" customFormat="1" ht="37.5">
      <c r="A30" s="138" t="s">
        <v>58</v>
      </c>
      <c r="B30" s="253" t="s">
        <v>59</v>
      </c>
      <c r="C30" s="257"/>
      <c r="D30" s="132">
        <f>E30/12</f>
        <v>8333.333333333334</v>
      </c>
      <c r="E30" s="109">
        <v>100000</v>
      </c>
      <c r="F30" s="143"/>
      <c r="G30" s="105">
        <v>79446</v>
      </c>
      <c r="H30" s="141"/>
    </row>
    <row r="31" spans="1:8" s="13" customFormat="1" ht="18.75">
      <c r="A31" s="94" t="s">
        <v>60</v>
      </c>
      <c r="B31" s="131" t="s">
        <v>61</v>
      </c>
      <c r="C31" s="144"/>
      <c r="D31" s="258">
        <f>D32+D33</f>
        <v>12500</v>
      </c>
      <c r="E31" s="110">
        <f>D31*12</f>
        <v>150000</v>
      </c>
      <c r="F31" s="259">
        <f>D31/100</f>
        <v>125</v>
      </c>
      <c r="G31" s="116">
        <f>G32+G33</f>
        <v>87735.67</v>
      </c>
      <c r="H31" s="245"/>
    </row>
    <row r="32" spans="1:8" s="12" customFormat="1" ht="18.75">
      <c r="A32" s="138" t="s">
        <v>62</v>
      </c>
      <c r="B32" s="253" t="s">
        <v>63</v>
      </c>
      <c r="C32" s="151"/>
      <c r="D32" s="132">
        <f aca="true" t="shared" si="1" ref="D32:D43">E32/12</f>
        <v>8333.333333333334</v>
      </c>
      <c r="E32" s="132">
        <v>100000</v>
      </c>
      <c r="F32" s="143"/>
      <c r="G32" s="105">
        <v>86535.67</v>
      </c>
      <c r="H32" s="141"/>
    </row>
    <row r="33" spans="1:8" s="12" customFormat="1" ht="18.75">
      <c r="A33" s="138" t="s">
        <v>64</v>
      </c>
      <c r="B33" s="253" t="s">
        <v>65</v>
      </c>
      <c r="C33" s="151"/>
      <c r="D33" s="132">
        <f t="shared" si="1"/>
        <v>4166.666666666667</v>
      </c>
      <c r="E33" s="132">
        <v>50000</v>
      </c>
      <c r="F33" s="143"/>
      <c r="G33" s="105">
        <v>1200</v>
      </c>
      <c r="H33" s="141"/>
    </row>
    <row r="34" spans="1:9" s="14" customFormat="1" ht="33" customHeight="1">
      <c r="A34" s="100" t="s">
        <v>66</v>
      </c>
      <c r="B34" s="118" t="s">
        <v>67</v>
      </c>
      <c r="C34" s="152"/>
      <c r="D34" s="153">
        <f t="shared" si="1"/>
        <v>66833.33333333333</v>
      </c>
      <c r="E34" s="122">
        <f>E35+E36+E37+E38+E39</f>
        <v>802000</v>
      </c>
      <c r="F34" s="103">
        <f>D34/100</f>
        <v>668.3333333333333</v>
      </c>
      <c r="G34" s="111">
        <f>G35+G37+G38</f>
        <v>674666.97</v>
      </c>
      <c r="H34" s="246"/>
      <c r="I34" s="154">
        <f>H5-H6-H11-G16-G17-G18-G26-G28-G30-G33-G34</f>
        <v>-3976979.5999999996</v>
      </c>
    </row>
    <row r="35" spans="1:8" s="9" customFormat="1" ht="56.25">
      <c r="A35" s="155" t="s">
        <v>68</v>
      </c>
      <c r="B35" s="253" t="s">
        <v>69</v>
      </c>
      <c r="C35" s="164"/>
      <c r="D35" s="153">
        <f t="shared" si="1"/>
        <v>20833.333333333332</v>
      </c>
      <c r="E35" s="122">
        <v>250000</v>
      </c>
      <c r="F35" s="122"/>
      <c r="G35" s="111">
        <f>305905.72</f>
        <v>305905.72</v>
      </c>
      <c r="H35" s="102"/>
    </row>
    <row r="36" spans="1:8" s="9" customFormat="1" ht="18.75">
      <c r="A36" s="155" t="s">
        <v>70</v>
      </c>
      <c r="B36" s="253" t="s">
        <v>71</v>
      </c>
      <c r="C36" s="164"/>
      <c r="D36" s="153">
        <f t="shared" si="1"/>
        <v>15166.666666666666</v>
      </c>
      <c r="E36" s="122">
        <v>182000</v>
      </c>
      <c r="F36" s="122"/>
      <c r="G36" s="111"/>
      <c r="H36" s="102"/>
    </row>
    <row r="37" spans="1:9" s="9" customFormat="1" ht="23.25" customHeight="1">
      <c r="A37" s="155" t="s">
        <v>72</v>
      </c>
      <c r="B37" s="253" t="s">
        <v>73</v>
      </c>
      <c r="C37" s="164"/>
      <c r="D37" s="153">
        <f t="shared" si="1"/>
        <v>20833.333333333332</v>
      </c>
      <c r="E37" s="122">
        <v>250000</v>
      </c>
      <c r="F37" s="122"/>
      <c r="G37" s="111">
        <v>350251.25</v>
      </c>
      <c r="H37" s="102"/>
      <c r="I37" s="157">
        <f>G34-G38-G40-G41-G42-G43</f>
        <v>470071.24999999994</v>
      </c>
    </row>
    <row r="38" spans="1:9" s="9" customFormat="1" ht="18.75">
      <c r="A38" s="155" t="s">
        <v>74</v>
      </c>
      <c r="B38" s="253" t="s">
        <v>75</v>
      </c>
      <c r="C38" s="164"/>
      <c r="D38" s="153">
        <f t="shared" si="1"/>
        <v>4166.666666666667</v>
      </c>
      <c r="E38" s="122">
        <v>50000</v>
      </c>
      <c r="F38" s="120"/>
      <c r="G38" s="260">
        <v>18510</v>
      </c>
      <c r="H38" s="171"/>
      <c r="I38" s="157">
        <f>I37-G37</f>
        <v>119819.99999999994</v>
      </c>
    </row>
    <row r="39" spans="1:8" s="9" customFormat="1" ht="37.5">
      <c r="A39" s="155" t="s">
        <v>76</v>
      </c>
      <c r="B39" s="261" t="s">
        <v>77</v>
      </c>
      <c r="C39" s="262"/>
      <c r="D39" s="263">
        <f t="shared" si="1"/>
        <v>5833.333333333333</v>
      </c>
      <c r="E39" s="162">
        <v>70000</v>
      </c>
      <c r="F39" s="162"/>
      <c r="G39" s="264"/>
      <c r="H39" s="265"/>
    </row>
    <row r="40" spans="1:8" s="9" customFormat="1" ht="18.75">
      <c r="A40" s="100" t="s">
        <v>78</v>
      </c>
      <c r="B40" s="118" t="s">
        <v>79</v>
      </c>
      <c r="C40" s="164"/>
      <c r="D40" s="102">
        <f t="shared" si="1"/>
        <v>5142</v>
      </c>
      <c r="E40" s="102">
        <v>61704</v>
      </c>
      <c r="F40" s="165">
        <f>D40/100</f>
        <v>51.42</v>
      </c>
      <c r="G40" s="166">
        <v>54986.28</v>
      </c>
      <c r="H40" s="102"/>
    </row>
    <row r="41" spans="1:8" s="9" customFormat="1" ht="18.75">
      <c r="A41" s="100" t="s">
        <v>80</v>
      </c>
      <c r="B41" s="167" t="s">
        <v>81</v>
      </c>
      <c r="C41" s="98"/>
      <c r="D41" s="102">
        <f t="shared" si="1"/>
        <v>4166.666666666667</v>
      </c>
      <c r="E41" s="102">
        <v>50000</v>
      </c>
      <c r="F41" s="103">
        <f>D41/100</f>
        <v>41.66666666666667</v>
      </c>
      <c r="G41" s="111">
        <v>60250</v>
      </c>
      <c r="H41" s="102"/>
    </row>
    <row r="42" spans="1:8" s="9" customFormat="1" ht="56.25">
      <c r="A42" s="100" t="s">
        <v>82</v>
      </c>
      <c r="B42" s="167" t="s">
        <v>83</v>
      </c>
      <c r="C42" s="98"/>
      <c r="D42" s="102">
        <f t="shared" si="1"/>
        <v>4583.333333333333</v>
      </c>
      <c r="E42" s="102">
        <v>55000</v>
      </c>
      <c r="F42" s="103">
        <f>D42/100</f>
        <v>45.83333333333333</v>
      </c>
      <c r="G42" s="166">
        <v>50849.44</v>
      </c>
      <c r="H42" s="102"/>
    </row>
    <row r="43" spans="1:8" s="9" customFormat="1" ht="18.75">
      <c r="A43" s="168" t="s">
        <v>84</v>
      </c>
      <c r="B43" s="169" t="s">
        <v>85</v>
      </c>
      <c r="C43" s="170"/>
      <c r="D43" s="171">
        <f t="shared" si="1"/>
        <v>1666.6666666666667</v>
      </c>
      <c r="E43" s="171">
        <v>20000</v>
      </c>
      <c r="F43" s="172">
        <f>D43/100</f>
        <v>16.666666666666668</v>
      </c>
      <c r="G43" s="173">
        <v>20000</v>
      </c>
      <c r="H43" s="171"/>
    </row>
    <row r="44" spans="1:8" ht="12.75" customHeight="1">
      <c r="A44" s="277"/>
      <c r="B44" s="275" t="s">
        <v>86</v>
      </c>
      <c r="C44" s="180"/>
      <c r="D44" s="178"/>
      <c r="E44" s="178"/>
      <c r="F44" s="103">
        <f>SUM(F15:F43)</f>
        <v>3500.0033333333336</v>
      </c>
      <c r="G44" s="116"/>
      <c r="H44" s="266"/>
    </row>
    <row r="45" spans="1:8" ht="26.25" customHeight="1">
      <c r="A45" s="277"/>
      <c r="B45" s="275"/>
      <c r="C45" s="180"/>
      <c r="D45" s="178"/>
      <c r="E45" s="181" t="s">
        <v>87</v>
      </c>
      <c r="F45" s="267">
        <v>3500</v>
      </c>
      <c r="G45" s="179"/>
      <c r="H45" s="266"/>
    </row>
    <row r="46" spans="1:8" ht="28.5" customHeight="1">
      <c r="A46" s="123"/>
      <c r="B46" s="275" t="s">
        <v>88</v>
      </c>
      <c r="C46" s="275"/>
      <c r="D46" s="275"/>
      <c r="E46" s="268"/>
      <c r="F46" s="164"/>
      <c r="G46" s="183"/>
      <c r="H46" s="268"/>
    </row>
    <row r="47" spans="1:8" ht="18.75">
      <c r="A47" s="177"/>
      <c r="B47" s="176"/>
      <c r="C47" s="266"/>
      <c r="D47" s="266"/>
      <c r="E47" s="266"/>
      <c r="F47" s="269"/>
      <c r="G47" s="176"/>
      <c r="H47" s="266"/>
    </row>
    <row r="48" spans="1:8" ht="18.75">
      <c r="A48" s="177" t="s">
        <v>89</v>
      </c>
      <c r="B48" s="126" t="s">
        <v>90</v>
      </c>
      <c r="C48" s="180"/>
      <c r="D48" s="178"/>
      <c r="E48" s="110">
        <v>100000</v>
      </c>
      <c r="F48" s="269"/>
      <c r="G48" s="176"/>
      <c r="H48" s="266"/>
    </row>
    <row r="49" spans="1:8" ht="37.5">
      <c r="A49" s="177" t="s">
        <v>91</v>
      </c>
      <c r="B49" s="126" t="s">
        <v>92</v>
      </c>
      <c r="C49" s="180"/>
      <c r="D49" s="178"/>
      <c r="E49" s="110">
        <v>150000</v>
      </c>
      <c r="F49" s="269"/>
      <c r="G49" s="176"/>
      <c r="H49" s="266"/>
    </row>
    <row r="50" spans="1:8" ht="18.75">
      <c r="A50" s="195"/>
      <c r="B50" s="196"/>
      <c r="C50" s="197"/>
      <c r="D50" s="197"/>
      <c r="E50" s="197"/>
      <c r="F50" s="270"/>
      <c r="G50" s="196"/>
      <c r="H50" s="197"/>
    </row>
    <row r="51" spans="1:8" ht="18.75">
      <c r="A51" s="195"/>
      <c r="B51" s="196"/>
      <c r="C51" s="197"/>
      <c r="D51" s="197"/>
      <c r="E51" s="197"/>
      <c r="F51" s="270"/>
      <c r="G51" s="196"/>
      <c r="H51" s="197"/>
    </row>
    <row r="52" spans="1:8" ht="18.75">
      <c r="A52" s="195"/>
      <c r="B52" s="196"/>
      <c r="C52" s="197"/>
      <c r="D52" s="197"/>
      <c r="E52" s="197"/>
      <c r="F52" s="270"/>
      <c r="G52" s="196"/>
      <c r="H52" s="197"/>
    </row>
    <row r="53" spans="1:8" ht="18.75">
      <c r="A53" s="195"/>
      <c r="B53" s="196"/>
      <c r="C53" s="197"/>
      <c r="D53" s="197"/>
      <c r="E53" s="197"/>
      <c r="F53" s="270"/>
      <c r="G53" s="196"/>
      <c r="H53" s="197"/>
    </row>
    <row r="54" spans="1:8" ht="33.75" customHeight="1">
      <c r="A54" s="195"/>
      <c r="B54" s="276" t="s">
        <v>93</v>
      </c>
      <c r="C54" s="276"/>
      <c r="D54" s="276"/>
      <c r="E54" s="276"/>
      <c r="F54" s="276"/>
      <c r="G54" s="196"/>
      <c r="H54" s="197"/>
    </row>
    <row r="55" ht="12.75">
      <c r="F55" s="86"/>
    </row>
    <row r="56" ht="12.75">
      <c r="F56" s="86"/>
    </row>
    <row r="57" ht="12.75">
      <c r="F57" s="86"/>
    </row>
    <row r="58" ht="12.75">
      <c r="F58" s="86"/>
    </row>
    <row r="59" ht="12.75">
      <c r="F59" s="86"/>
    </row>
  </sheetData>
  <sheetProtection selectLockedCells="1" selectUnlockedCells="1"/>
  <mergeCells count="7">
    <mergeCell ref="A1:H1"/>
    <mergeCell ref="B4:E4"/>
    <mergeCell ref="B13:E13"/>
    <mergeCell ref="B46:D46"/>
    <mergeCell ref="B54:F54"/>
    <mergeCell ref="A44:A45"/>
    <mergeCell ref="B44:B45"/>
  </mergeCells>
  <printOptions/>
  <pageMargins left="0.39375" right="0" top="0.3541666666666667" bottom="0" header="0.5118055555555555" footer="0.5118055555555555"/>
  <pageSetup horizontalDpi="300" verticalDpi="3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8"/>
  <sheetViews>
    <sheetView zoomScale="130" zoomScaleNormal="130" workbookViewId="0" topLeftCell="A4">
      <selection activeCell="B22" sqref="B22"/>
    </sheetView>
  </sheetViews>
  <sheetFormatPr defaultColWidth="9.140625" defaultRowHeight="12.75"/>
  <cols>
    <col min="1" max="1" width="4.140625" style="200" customWidth="1"/>
    <col min="2" max="2" width="41.8515625" style="201" customWidth="1"/>
    <col min="3" max="3" width="13.140625" style="200" customWidth="1"/>
    <col min="4" max="4" width="11.28125" style="200" customWidth="1"/>
    <col min="5" max="16384" width="9.140625" style="201" customWidth="1"/>
  </cols>
  <sheetData>
    <row r="3" spans="2:4" ht="12.75">
      <c r="B3" s="278" t="s">
        <v>94</v>
      </c>
      <c r="C3" s="278"/>
      <c r="D3" s="278"/>
    </row>
    <row r="6" spans="1:4" s="199" customFormat="1" ht="12.75">
      <c r="A6" s="202"/>
      <c r="B6" s="203" t="s">
        <v>95</v>
      </c>
      <c r="C6" s="204">
        <f>'измененная 2020, зп 35,35 '!F45</f>
        <v>3500</v>
      </c>
      <c r="D6" s="202" t="s">
        <v>96</v>
      </c>
    </row>
    <row r="7" spans="1:4" ht="12.75">
      <c r="A7" s="205"/>
      <c r="B7" s="206"/>
      <c r="C7" s="205"/>
      <c r="D7" s="205"/>
    </row>
    <row r="8" spans="1:4" ht="12.75">
      <c r="A8" s="205">
        <v>1</v>
      </c>
      <c r="B8" s="206" t="s">
        <v>97</v>
      </c>
      <c r="C8" s="207">
        <f>'измененная 2020, зп 35,35 '!F15+'измененная 2020, зп 35,35 '!F16+'измененная 2020, зп 35,35 '!F17</f>
        <v>602.65</v>
      </c>
      <c r="D8" s="208">
        <f>C8*100/C14</f>
        <v>17.218555029947588</v>
      </c>
    </row>
    <row r="9" spans="1:4" ht="12.75">
      <c r="A9" s="205">
        <v>2</v>
      </c>
      <c r="B9" s="206" t="s">
        <v>35</v>
      </c>
      <c r="C9" s="207">
        <f>'измененная 2020, зп 35,35 '!F18+'измененная 2020, зп 35,35 '!F26</f>
        <v>1765.1</v>
      </c>
      <c r="D9" s="208">
        <f>C9*100/C14</f>
        <v>50.43138054154234</v>
      </c>
    </row>
    <row r="10" spans="1:4" ht="12.75">
      <c r="A10" s="205">
        <v>3</v>
      </c>
      <c r="B10" s="206" t="s">
        <v>98</v>
      </c>
      <c r="C10" s="207">
        <f>'измененная 2020, зп 35,35 '!F28+'измененная 2020, зп 35,35 '!F31</f>
        <v>308.3333333333333</v>
      </c>
      <c r="D10" s="208">
        <f>C10*100/C14</f>
        <v>8.809515419509124</v>
      </c>
    </row>
    <row r="11" spans="1:4" ht="12.75">
      <c r="A11" s="205">
        <v>4</v>
      </c>
      <c r="B11" s="206" t="s">
        <v>99</v>
      </c>
      <c r="C11" s="207">
        <f>'измененная 2020, зп 35,35 '!F34</f>
        <v>668.3333333333333</v>
      </c>
      <c r="D11" s="208">
        <f>C11*100/C14</f>
        <v>19.09521990931437</v>
      </c>
    </row>
    <row r="12" spans="1:4" ht="12.75">
      <c r="A12" s="205">
        <v>5</v>
      </c>
      <c r="B12" s="206" t="s">
        <v>100</v>
      </c>
      <c r="C12" s="207">
        <f>'измененная 2020, зп 35,35 '!F40+'измененная 2020, зп 35,35 '!F41+'измененная 2020, зп 35,35 '!F42+'измененная 2020, зп 35,35 '!F43</f>
        <v>155.58666666666667</v>
      </c>
      <c r="D12" s="208">
        <f>C12*100/C14</f>
        <v>4.445329099686572</v>
      </c>
    </row>
    <row r="13" spans="1:4" ht="12.75">
      <c r="A13" s="205"/>
      <c r="B13" s="206"/>
      <c r="C13" s="205"/>
      <c r="D13" s="205"/>
    </row>
    <row r="14" spans="1:4" ht="12.75">
      <c r="A14" s="205"/>
      <c r="B14" s="206" t="s">
        <v>101</v>
      </c>
      <c r="C14" s="207">
        <f>C8+C9+C10+C11+C12</f>
        <v>3500.0033333333336</v>
      </c>
      <c r="D14" s="205">
        <v>100</v>
      </c>
    </row>
    <row r="15" spans="1:4" ht="12.75">
      <c r="A15" s="205"/>
      <c r="B15" s="206"/>
      <c r="C15" s="205"/>
      <c r="D15" s="205"/>
    </row>
    <row r="18" ht="12.75">
      <c r="A18" s="201" t="s">
        <v>102</v>
      </c>
    </row>
  </sheetData>
  <sheetProtection selectLockedCells="1" selectUnlockedCells="1"/>
  <mergeCells count="1"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6"/>
  <sheetViews>
    <sheetView zoomScale="85" zoomScaleNormal="85" workbookViewId="0" topLeftCell="A34">
      <selection activeCell="G38" sqref="G38"/>
    </sheetView>
  </sheetViews>
  <sheetFormatPr defaultColWidth="11.57421875" defaultRowHeight="12.75"/>
  <cols>
    <col min="1" max="1" width="6.8515625" style="1" customWidth="1"/>
    <col min="2" max="2" width="49.8515625" style="4" customWidth="1"/>
    <col min="3" max="3" width="14.7109375" style="3" customWidth="1"/>
    <col min="4" max="4" width="15.140625" style="3" customWidth="1"/>
    <col min="5" max="5" width="14.7109375" style="3" customWidth="1"/>
    <col min="6" max="6" width="17.421875" style="3" customWidth="1"/>
    <col min="7" max="7" width="63.421875" style="4" customWidth="1"/>
    <col min="8" max="8" width="13.8515625" style="3" customWidth="1"/>
    <col min="9" max="9" width="11.00390625" style="3" customWidth="1"/>
    <col min="10" max="10" width="12.7109375" style="3" customWidth="1"/>
    <col min="11" max="29" width="11.00390625" style="3" customWidth="1"/>
    <col min="30" max="255" width="11.421875" style="3" customWidth="1"/>
  </cols>
  <sheetData>
    <row r="1" spans="1:7" ht="48.75" customHeight="1">
      <c r="A1" s="272" t="s">
        <v>103</v>
      </c>
      <c r="B1" s="272"/>
      <c r="C1" s="272"/>
      <c r="D1" s="272"/>
      <c r="E1" s="272"/>
      <c r="F1" s="272"/>
      <c r="G1" s="272"/>
    </row>
    <row r="2" spans="1:28" s="7" customFormat="1" ht="47.25" customHeight="1">
      <c r="A2" s="87" t="s">
        <v>1</v>
      </c>
      <c r="B2" s="88" t="s">
        <v>104</v>
      </c>
      <c r="C2" s="89" t="s">
        <v>105</v>
      </c>
      <c r="D2" s="90" t="s">
        <v>4</v>
      </c>
      <c r="E2" s="91" t="s">
        <v>5</v>
      </c>
      <c r="F2" s="92" t="s">
        <v>26</v>
      </c>
      <c r="G2" s="93" t="s">
        <v>106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7" ht="18.75">
      <c r="A3" s="94"/>
      <c r="B3" s="95" t="s">
        <v>28</v>
      </c>
      <c r="C3" s="96"/>
      <c r="D3" s="96"/>
      <c r="E3" s="97"/>
      <c r="F3" s="98"/>
      <c r="G3" s="99"/>
    </row>
    <row r="4" spans="1:7" s="3" customFormat="1" ht="31.5">
      <c r="A4" s="100" t="s">
        <v>107</v>
      </c>
      <c r="B4" s="101" t="s">
        <v>30</v>
      </c>
      <c r="C4" s="98"/>
      <c r="D4" s="102">
        <v>2900</v>
      </c>
      <c r="E4" s="102">
        <f>D4*12</f>
        <v>34800</v>
      </c>
      <c r="F4" s="103">
        <f>D4/100</f>
        <v>29</v>
      </c>
      <c r="G4" s="104" t="s">
        <v>108</v>
      </c>
    </row>
    <row r="5" spans="1:8" ht="18.75">
      <c r="A5" s="100" t="s">
        <v>109</v>
      </c>
      <c r="B5" s="101" t="s">
        <v>32</v>
      </c>
      <c r="C5" s="98"/>
      <c r="D5" s="102">
        <v>21600</v>
      </c>
      <c r="E5" s="102">
        <f>D5*12</f>
        <v>259200</v>
      </c>
      <c r="F5" s="103">
        <v>216</v>
      </c>
      <c r="G5" s="105" t="s">
        <v>110</v>
      </c>
      <c r="H5" s="106"/>
    </row>
    <row r="6" spans="1:8" ht="18.75">
      <c r="A6" s="94">
        <v>3</v>
      </c>
      <c r="B6" s="107" t="s">
        <v>33</v>
      </c>
      <c r="C6" s="108" t="s">
        <v>34</v>
      </c>
      <c r="D6" s="109">
        <v>35765</v>
      </c>
      <c r="E6" s="110">
        <f>12*D6</f>
        <v>429180</v>
      </c>
      <c r="F6" s="103">
        <f>D6/100</f>
        <v>357.65</v>
      </c>
      <c r="G6" s="111"/>
      <c r="H6" s="106"/>
    </row>
    <row r="7" spans="1:8" s="9" customFormat="1" ht="28.5" customHeight="1">
      <c r="A7" s="94">
        <v>4</v>
      </c>
      <c r="B7" s="112" t="s">
        <v>35</v>
      </c>
      <c r="C7" s="113"/>
      <c r="D7" s="110">
        <f>E7/12</f>
        <v>116591.5344</v>
      </c>
      <c r="E7" s="114">
        <f>E10+E11+E12+E13+E14+E9</f>
        <v>1399098.4128</v>
      </c>
      <c r="F7" s="115">
        <f>D7/100</f>
        <v>1165.915344</v>
      </c>
      <c r="G7" s="116"/>
      <c r="H7" s="117"/>
    </row>
    <row r="8" spans="1:8" s="9" customFormat="1" ht="18.75" customHeight="1">
      <c r="A8" s="100"/>
      <c r="B8" s="118"/>
      <c r="C8" s="119" t="s">
        <v>37</v>
      </c>
      <c r="D8" s="120" t="s">
        <v>38</v>
      </c>
      <c r="E8" s="121"/>
      <c r="F8" s="122"/>
      <c r="G8" s="111"/>
      <c r="H8" s="117"/>
    </row>
    <row r="9" spans="1:11" ht="18.75">
      <c r="A9" s="123" t="s">
        <v>39</v>
      </c>
      <c r="B9" s="107" t="s">
        <v>40</v>
      </c>
      <c r="C9" s="124">
        <f>D9*0.87</f>
        <v>30000.21</v>
      </c>
      <c r="D9" s="110">
        <v>34483</v>
      </c>
      <c r="E9" s="114">
        <f aca="true" t="shared" si="0" ref="E9:E15">12*D9</f>
        <v>413796</v>
      </c>
      <c r="F9" s="122"/>
      <c r="G9" s="111"/>
      <c r="J9" s="58"/>
      <c r="K9" s="58"/>
    </row>
    <row r="10" spans="1:10" ht="18.75">
      <c r="A10" s="123" t="s">
        <v>41</v>
      </c>
      <c r="B10" s="107" t="s">
        <v>42</v>
      </c>
      <c r="C10" s="124">
        <f>D10*0.87</f>
        <v>20000.43</v>
      </c>
      <c r="D10" s="110">
        <v>22989</v>
      </c>
      <c r="E10" s="114">
        <f t="shared" si="0"/>
        <v>275868</v>
      </c>
      <c r="F10" s="122"/>
      <c r="G10" s="116"/>
      <c r="H10" s="125"/>
      <c r="J10" s="58"/>
    </row>
    <row r="11" spans="1:11" ht="18.75">
      <c r="A11" s="123" t="s">
        <v>43</v>
      </c>
      <c r="B11" s="107" t="s">
        <v>44</v>
      </c>
      <c r="C11" s="124">
        <f>D11*0.87</f>
        <v>8004</v>
      </c>
      <c r="D11" s="110">
        <v>9200</v>
      </c>
      <c r="E11" s="114">
        <f t="shared" si="0"/>
        <v>110400</v>
      </c>
      <c r="F11" s="122"/>
      <c r="G11" s="116"/>
      <c r="H11" s="125"/>
      <c r="J11" s="58"/>
      <c r="K11" s="58"/>
    </row>
    <row r="12" spans="1:11" ht="18.75">
      <c r="A12" s="123" t="s">
        <v>45</v>
      </c>
      <c r="B12" s="107" t="s">
        <v>46</v>
      </c>
      <c r="C12" s="124">
        <f>D12*0.87</f>
        <v>10005</v>
      </c>
      <c r="D12" s="110">
        <v>11500</v>
      </c>
      <c r="E12" s="114">
        <f t="shared" si="0"/>
        <v>138000</v>
      </c>
      <c r="F12" s="122"/>
      <c r="G12" s="116"/>
      <c r="J12" s="58"/>
      <c r="K12" s="58"/>
    </row>
    <row r="13" spans="1:7" ht="18.75">
      <c r="A13" s="123" t="s">
        <v>47</v>
      </c>
      <c r="B13" s="126" t="s">
        <v>48</v>
      </c>
      <c r="C13" s="124">
        <f>D13*0.87</f>
        <v>10005</v>
      </c>
      <c r="D13" s="110">
        <v>11500</v>
      </c>
      <c r="E13" s="127">
        <f t="shared" si="0"/>
        <v>138000</v>
      </c>
      <c r="F13" s="122"/>
      <c r="G13" s="116"/>
    </row>
    <row r="14" spans="1:7" ht="18.75">
      <c r="A14" s="123" t="s">
        <v>49</v>
      </c>
      <c r="B14" s="107" t="s">
        <v>111</v>
      </c>
      <c r="C14" s="128"/>
      <c r="D14" s="129">
        <f>(D10+D11+D12+D13+D9)*0.3002</f>
        <v>26919.5344</v>
      </c>
      <c r="E14" s="110">
        <f t="shared" si="0"/>
        <v>323034.4128</v>
      </c>
      <c r="F14" s="122"/>
      <c r="G14" s="130"/>
    </row>
    <row r="15" spans="1:7" ht="18.75">
      <c r="A15" s="94" t="s">
        <v>51</v>
      </c>
      <c r="B15" s="131" t="s">
        <v>52</v>
      </c>
      <c r="C15" s="108"/>
      <c r="D15" s="132">
        <v>30000</v>
      </c>
      <c r="E15" s="133">
        <f t="shared" si="0"/>
        <v>360000</v>
      </c>
      <c r="F15" s="103">
        <f>D15/100</f>
        <v>300</v>
      </c>
      <c r="G15" s="134"/>
    </row>
    <row r="16" spans="1:7" ht="24.75" customHeight="1">
      <c r="A16" s="123"/>
      <c r="B16" s="95" t="s">
        <v>53</v>
      </c>
      <c r="C16" s="135"/>
      <c r="D16" s="132"/>
      <c r="E16" s="133"/>
      <c r="F16" s="122"/>
      <c r="G16" s="134"/>
    </row>
    <row r="17" spans="1:7" s="11" customFormat="1" ht="37.5">
      <c r="A17" s="94" t="s">
        <v>54</v>
      </c>
      <c r="B17" s="136" t="s">
        <v>55</v>
      </c>
      <c r="C17" s="137"/>
      <c r="D17" s="132">
        <f aca="true" t="shared" si="1" ref="D17:D31">E17/12</f>
        <v>22500</v>
      </c>
      <c r="E17" s="110">
        <f>E18+E19+E20</f>
        <v>270000</v>
      </c>
      <c r="F17" s="115">
        <f>D17/100</f>
        <v>225</v>
      </c>
      <c r="G17" s="116"/>
    </row>
    <row r="18" spans="1:7" s="12" customFormat="1" ht="15.75">
      <c r="A18" s="138" t="s">
        <v>56</v>
      </c>
      <c r="B18" s="139" t="s">
        <v>112</v>
      </c>
      <c r="C18" s="140"/>
      <c r="D18" s="141">
        <f t="shared" si="1"/>
        <v>10000</v>
      </c>
      <c r="E18" s="142">
        <v>120000</v>
      </c>
      <c r="F18" s="143"/>
      <c r="G18" s="105"/>
    </row>
    <row r="19" spans="1:7" s="12" customFormat="1" ht="31.5">
      <c r="A19" s="138" t="s">
        <v>58</v>
      </c>
      <c r="B19" s="139" t="s">
        <v>59</v>
      </c>
      <c r="C19" s="140"/>
      <c r="D19" s="141">
        <f t="shared" si="1"/>
        <v>8333.333333333334</v>
      </c>
      <c r="E19" s="142">
        <v>100000</v>
      </c>
      <c r="F19" s="143"/>
      <c r="G19" s="105"/>
    </row>
    <row r="20" spans="1:7" s="12" customFormat="1" ht="19.5" customHeight="1">
      <c r="A20" s="138" t="s">
        <v>113</v>
      </c>
      <c r="B20" s="139" t="s">
        <v>114</v>
      </c>
      <c r="C20" s="140"/>
      <c r="D20" s="141">
        <f t="shared" si="1"/>
        <v>4166.666666666667</v>
      </c>
      <c r="E20" s="142">
        <v>50000</v>
      </c>
      <c r="F20" s="143"/>
      <c r="G20" s="105"/>
    </row>
    <row r="21" spans="1:7" s="13" customFormat="1" ht="18.75">
      <c r="A21" s="94" t="s">
        <v>60</v>
      </c>
      <c r="B21" s="131" t="s">
        <v>61</v>
      </c>
      <c r="C21" s="144"/>
      <c r="D21" s="132">
        <f t="shared" si="1"/>
        <v>12500</v>
      </c>
      <c r="E21" s="109">
        <f>E22+E23</f>
        <v>150000</v>
      </c>
      <c r="F21" s="103">
        <f>D21/100</f>
        <v>125</v>
      </c>
      <c r="G21" s="116"/>
    </row>
    <row r="22" spans="1:7" s="12" customFormat="1" ht="63">
      <c r="A22" s="145" t="s">
        <v>62</v>
      </c>
      <c r="B22" s="146" t="s">
        <v>115</v>
      </c>
      <c r="C22" s="147"/>
      <c r="D22" s="148">
        <f t="shared" si="1"/>
        <v>8333.333333333334</v>
      </c>
      <c r="E22" s="143">
        <v>100000</v>
      </c>
      <c r="F22" s="143"/>
      <c r="G22" s="149" t="s">
        <v>116</v>
      </c>
    </row>
    <row r="23" spans="1:7" s="12" customFormat="1" ht="15.75">
      <c r="A23" s="138" t="s">
        <v>64</v>
      </c>
      <c r="B23" s="150" t="s">
        <v>65</v>
      </c>
      <c r="C23" s="151"/>
      <c r="D23" s="141">
        <f t="shared" si="1"/>
        <v>4166.666666666667</v>
      </c>
      <c r="E23" s="142">
        <v>50000</v>
      </c>
      <c r="F23" s="143"/>
      <c r="G23" s="105"/>
    </row>
    <row r="24" spans="1:8" s="14" customFormat="1" ht="24.75" customHeight="1">
      <c r="A24" s="100" t="s">
        <v>66</v>
      </c>
      <c r="B24" s="118" t="s">
        <v>67</v>
      </c>
      <c r="C24" s="152"/>
      <c r="D24" s="153">
        <f t="shared" si="1"/>
        <v>45000</v>
      </c>
      <c r="E24" s="122">
        <f>E25+E26+E27</f>
        <v>540000</v>
      </c>
      <c r="F24" s="103">
        <f>D24/100</f>
        <v>450</v>
      </c>
      <c r="G24" s="111"/>
      <c r="H24" s="154"/>
    </row>
    <row r="25" spans="1:7" s="9" customFormat="1" ht="63">
      <c r="A25" s="155" t="s">
        <v>68</v>
      </c>
      <c r="B25" s="146" t="s">
        <v>117</v>
      </c>
      <c r="C25" s="147"/>
      <c r="D25" s="156">
        <f t="shared" si="1"/>
        <v>20833.333333333332</v>
      </c>
      <c r="E25" s="143">
        <v>250000</v>
      </c>
      <c r="F25" s="122"/>
      <c r="G25" s="149" t="s">
        <v>118</v>
      </c>
    </row>
    <row r="26" spans="1:8" s="9" customFormat="1" ht="131.25" customHeight="1">
      <c r="A26" s="155" t="s">
        <v>70</v>
      </c>
      <c r="B26" s="146" t="s">
        <v>119</v>
      </c>
      <c r="C26" s="147"/>
      <c r="D26" s="156">
        <f t="shared" si="1"/>
        <v>18333.333333333332</v>
      </c>
      <c r="E26" s="143">
        <v>220000</v>
      </c>
      <c r="F26" s="122"/>
      <c r="G26" s="149" t="s">
        <v>120</v>
      </c>
      <c r="H26" s="157"/>
    </row>
    <row r="27" spans="1:7" s="9" customFormat="1" ht="47.25">
      <c r="A27" s="155" t="s">
        <v>72</v>
      </c>
      <c r="B27" s="158" t="s">
        <v>121</v>
      </c>
      <c r="C27" s="159"/>
      <c r="D27" s="160">
        <f t="shared" si="1"/>
        <v>5833.333333333333</v>
      </c>
      <c r="E27" s="161">
        <v>70000</v>
      </c>
      <c r="F27" s="162"/>
      <c r="G27" s="163" t="s">
        <v>122</v>
      </c>
    </row>
    <row r="28" spans="1:7" s="9" customFormat="1" ht="18.75">
      <c r="A28" s="100" t="s">
        <v>78</v>
      </c>
      <c r="B28" s="118" t="s">
        <v>79</v>
      </c>
      <c r="C28" s="164"/>
      <c r="D28" s="102">
        <f t="shared" si="1"/>
        <v>5142</v>
      </c>
      <c r="E28" s="102">
        <v>61704</v>
      </c>
      <c r="F28" s="165">
        <f>D28/100</f>
        <v>51.42</v>
      </c>
      <c r="G28" s="166"/>
    </row>
    <row r="29" spans="1:7" s="9" customFormat="1" ht="18.75">
      <c r="A29" s="100" t="s">
        <v>80</v>
      </c>
      <c r="B29" s="167" t="s">
        <v>81</v>
      </c>
      <c r="C29" s="98"/>
      <c r="D29" s="102">
        <f t="shared" si="1"/>
        <v>4166.666666666667</v>
      </c>
      <c r="E29" s="102">
        <v>50000</v>
      </c>
      <c r="F29" s="103">
        <f>D29/100</f>
        <v>41.66666666666667</v>
      </c>
      <c r="G29" s="111"/>
    </row>
    <row r="30" spans="1:7" s="9" customFormat="1" ht="56.25">
      <c r="A30" s="100" t="s">
        <v>82</v>
      </c>
      <c r="B30" s="167" t="s">
        <v>83</v>
      </c>
      <c r="C30" s="98"/>
      <c r="D30" s="102">
        <f t="shared" si="1"/>
        <v>4583.333333333333</v>
      </c>
      <c r="E30" s="102">
        <v>55000</v>
      </c>
      <c r="F30" s="103">
        <f>D30/100</f>
        <v>45.83333333333333</v>
      </c>
      <c r="G30" s="166"/>
    </row>
    <row r="31" spans="1:7" s="9" customFormat="1" ht="18.75">
      <c r="A31" s="168" t="s">
        <v>84</v>
      </c>
      <c r="B31" s="169" t="s">
        <v>85</v>
      </c>
      <c r="C31" s="170"/>
      <c r="D31" s="171">
        <f t="shared" si="1"/>
        <v>1666.6666666666667</v>
      </c>
      <c r="E31" s="171">
        <v>20000</v>
      </c>
      <c r="F31" s="172">
        <f>D31/100</f>
        <v>16.666666666666668</v>
      </c>
      <c r="G31" s="173"/>
    </row>
    <row r="32" spans="1:7" ht="56.25">
      <c r="A32" s="174" t="s">
        <v>89</v>
      </c>
      <c r="B32" s="175" t="s">
        <v>123</v>
      </c>
      <c r="C32" s="43"/>
      <c r="D32" s="43"/>
      <c r="E32" s="121">
        <v>100000</v>
      </c>
      <c r="F32" s="172">
        <f>ROUND(E32/100/12,2)</f>
        <v>83.33</v>
      </c>
      <c r="G32" s="176"/>
    </row>
    <row r="33" spans="1:7" ht="12.75" customHeight="1">
      <c r="A33" s="277"/>
      <c r="B33" s="275" t="s">
        <v>86</v>
      </c>
      <c r="C33" s="108"/>
      <c r="D33" s="129"/>
      <c r="E33" s="178"/>
      <c r="F33" s="103">
        <f>SUM(F4:F32)</f>
        <v>3107.4820106666666</v>
      </c>
      <c r="G33" s="179"/>
    </row>
    <row r="34" spans="1:8" ht="31.5" customHeight="1">
      <c r="A34" s="277"/>
      <c r="B34" s="275"/>
      <c r="C34" s="180"/>
      <c r="D34" s="178"/>
      <c r="E34" s="181" t="s">
        <v>87</v>
      </c>
      <c r="F34" s="182">
        <v>3100</v>
      </c>
      <c r="G34" s="183"/>
      <c r="H34" s="58"/>
    </row>
    <row r="35" spans="1:7" ht="28.5" customHeight="1">
      <c r="A35" s="123"/>
      <c r="B35" s="279" t="s">
        <v>124</v>
      </c>
      <c r="C35" s="279"/>
      <c r="D35" s="279"/>
      <c r="E35" s="279"/>
      <c r="F35" s="164"/>
      <c r="G35" s="176"/>
    </row>
    <row r="36" spans="1:7" s="9" customFormat="1" ht="47.25">
      <c r="A36" s="184" t="s">
        <v>91</v>
      </c>
      <c r="B36" s="185" t="s">
        <v>125</v>
      </c>
      <c r="C36" s="186"/>
      <c r="E36" s="120">
        <v>150000</v>
      </c>
      <c r="F36" s="187">
        <f>ROUND(E36/100/12,2)</f>
        <v>125</v>
      </c>
      <c r="G36" s="188" t="s">
        <v>126</v>
      </c>
    </row>
    <row r="37" spans="1:7" ht="67.5" customHeight="1">
      <c r="A37" s="189" t="s">
        <v>127</v>
      </c>
      <c r="B37" s="190" t="s">
        <v>128</v>
      </c>
      <c r="C37" s="191"/>
      <c r="D37" s="191"/>
      <c r="E37" s="121">
        <v>150000</v>
      </c>
      <c r="F37" s="187">
        <v>125</v>
      </c>
      <c r="G37" s="176" t="s">
        <v>129</v>
      </c>
    </row>
    <row r="38" spans="1:7" ht="37.5">
      <c r="A38" s="189" t="s">
        <v>130</v>
      </c>
      <c r="B38" s="192" t="s">
        <v>92</v>
      </c>
      <c r="C38" s="43"/>
      <c r="D38" s="43"/>
      <c r="E38" s="121">
        <v>100000</v>
      </c>
      <c r="F38" s="187">
        <f>ROUND(E38/100/12,2)</f>
        <v>83.33</v>
      </c>
      <c r="G38" s="193" t="s">
        <v>131</v>
      </c>
    </row>
    <row r="39" spans="1:7" ht="18.75">
      <c r="A39" s="177" t="s">
        <v>132</v>
      </c>
      <c r="B39" s="192" t="s">
        <v>133</v>
      </c>
      <c r="C39" s="60"/>
      <c r="D39" s="61"/>
      <c r="E39" s="194">
        <v>100000</v>
      </c>
      <c r="F39" s="187">
        <f>ROUND(E39/100/12,2)</f>
        <v>83.33</v>
      </c>
      <c r="G39" s="176"/>
    </row>
    <row r="40" spans="1:7" ht="18.75">
      <c r="A40" s="195"/>
      <c r="B40" s="196"/>
      <c r="C40" s="197"/>
      <c r="D40" s="197"/>
      <c r="E40" s="83">
        <f>SUM(E36:E39)</f>
        <v>500000</v>
      </c>
      <c r="F40" s="198">
        <f>SUM(F36:F39)</f>
        <v>416.65999999999997</v>
      </c>
      <c r="G40" s="176"/>
    </row>
    <row r="41" spans="1:6" ht="48.75" customHeight="1">
      <c r="A41" s="195"/>
      <c r="B41" s="276" t="s">
        <v>134</v>
      </c>
      <c r="C41" s="276"/>
      <c r="D41" s="276"/>
      <c r="E41" s="276"/>
      <c r="F41" s="276"/>
    </row>
    <row r="42" ht="12.75">
      <c r="F42" s="86"/>
    </row>
    <row r="43" ht="12.75">
      <c r="F43" s="86"/>
    </row>
    <row r="44" ht="12.75">
      <c r="F44" s="86"/>
    </row>
    <row r="45" ht="12.75">
      <c r="F45" s="86"/>
    </row>
    <row r="46" ht="12.75">
      <c r="F46" s="86"/>
    </row>
  </sheetData>
  <sheetProtection/>
  <mergeCells count="5">
    <mergeCell ref="A1:G1"/>
    <mergeCell ref="B35:E35"/>
    <mergeCell ref="B41:F41"/>
    <mergeCell ref="A33:A34"/>
    <mergeCell ref="B33:B34"/>
  </mergeCells>
  <printOptions/>
  <pageMargins left="0.2362204724409449" right="0.16" top="0.15748031496062992" bottom="0.2755905511811024" header="0.31496062992125984" footer="0.31496062992125984"/>
  <pageSetup horizontalDpi="600" verticalDpi="6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51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5.421875" style="1" customWidth="1"/>
    <col min="2" max="2" width="48.57421875" style="2" customWidth="1"/>
    <col min="3" max="3" width="14.28125" style="3" customWidth="1"/>
    <col min="4" max="4" width="14.57421875" style="3" customWidth="1"/>
    <col min="5" max="5" width="14.7109375" style="3" customWidth="1"/>
    <col min="6" max="6" width="12.7109375" style="3" customWidth="1"/>
    <col min="7" max="7" width="30.57421875" style="4" customWidth="1"/>
    <col min="8" max="8" width="15.8515625" style="3" customWidth="1"/>
    <col min="9" max="26" width="11.00390625" style="3" customWidth="1"/>
    <col min="27" max="252" width="11.421875" style="3" customWidth="1"/>
    <col min="253" max="16384" width="11.421875" style="5" customWidth="1"/>
  </cols>
  <sheetData>
    <row r="1" spans="5:252" ht="13.5" customHeight="1">
      <c r="E1" s="5"/>
      <c r="G1" s="15" t="s">
        <v>135</v>
      </c>
      <c r="IR1" s="5"/>
    </row>
    <row r="2" spans="5:252" ht="11.25" customHeight="1">
      <c r="E2" s="5"/>
      <c r="G2" s="15" t="s">
        <v>136</v>
      </c>
      <c r="IR2" s="5"/>
    </row>
    <row r="3" spans="5:252" ht="11.25" customHeight="1">
      <c r="E3" s="5"/>
      <c r="G3" s="15" t="s">
        <v>218</v>
      </c>
      <c r="IR3" s="5"/>
    </row>
    <row r="4" spans="5:252" ht="14.25" customHeight="1">
      <c r="E4" s="5"/>
      <c r="G4" s="15" t="s">
        <v>217</v>
      </c>
      <c r="IR4" s="5"/>
    </row>
    <row r="5" spans="5:252" ht="15.75">
      <c r="E5" s="5"/>
      <c r="G5" s="16" t="s">
        <v>137</v>
      </c>
      <c r="IR5" s="5"/>
    </row>
    <row r="6" spans="1:252" ht="16.5" customHeight="1">
      <c r="A6" s="280" t="s">
        <v>216</v>
      </c>
      <c r="B6" s="280"/>
      <c r="C6" s="280"/>
      <c r="D6" s="280"/>
      <c r="E6" s="280"/>
      <c r="F6" s="280"/>
      <c r="G6" s="3"/>
      <c r="IR6" s="5"/>
    </row>
    <row r="7" spans="1:25" s="7" customFormat="1" ht="27" customHeight="1">
      <c r="A7" s="17" t="s">
        <v>1</v>
      </c>
      <c r="B7" s="18" t="s">
        <v>138</v>
      </c>
      <c r="C7" s="19" t="s">
        <v>139</v>
      </c>
      <c r="D7" s="20" t="s">
        <v>4</v>
      </c>
      <c r="E7" s="19" t="s">
        <v>5</v>
      </c>
      <c r="F7" s="21" t="s">
        <v>140</v>
      </c>
      <c r="G7" s="22" t="s">
        <v>141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7" customFormat="1" ht="18.75">
      <c r="A8" s="23" t="s">
        <v>107</v>
      </c>
      <c r="B8" s="24" t="s">
        <v>142</v>
      </c>
      <c r="C8" s="19"/>
      <c r="D8" s="20"/>
      <c r="E8" s="25">
        <f>E9+E10</f>
        <v>6504344</v>
      </c>
      <c r="F8" s="26"/>
      <c r="G8" s="2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7" customFormat="1" ht="18.75">
      <c r="A9" s="28" t="s">
        <v>143</v>
      </c>
      <c r="B9" s="29" t="s">
        <v>144</v>
      </c>
      <c r="C9" s="19"/>
      <c r="D9" s="30">
        <f>F9*100</f>
        <v>487567</v>
      </c>
      <c r="E9" s="30">
        <f>D9*12</f>
        <v>5850804</v>
      </c>
      <c r="F9" s="30">
        <v>4875.67</v>
      </c>
      <c r="G9" s="2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7" customFormat="1" ht="18.75">
      <c r="A10" s="28" t="s">
        <v>145</v>
      </c>
      <c r="B10" s="29" t="s">
        <v>146</v>
      </c>
      <c r="C10" s="19"/>
      <c r="D10" s="20"/>
      <c r="E10" s="30">
        <v>653540</v>
      </c>
      <c r="F10" s="26"/>
      <c r="G10" s="31" t="s">
        <v>212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7" customFormat="1" ht="15.75" customHeight="1">
      <c r="A11" s="23" t="s">
        <v>109</v>
      </c>
      <c r="B11" s="32" t="s">
        <v>147</v>
      </c>
      <c r="C11" s="19"/>
      <c r="D11" s="20"/>
      <c r="E11" s="19"/>
      <c r="F11" s="26"/>
      <c r="G11" s="33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8" s="3" customFormat="1" ht="76.5">
      <c r="A12" s="34" t="s">
        <v>31</v>
      </c>
      <c r="B12" s="35" t="s">
        <v>148</v>
      </c>
      <c r="C12" s="28" t="s">
        <v>149</v>
      </c>
      <c r="D12" s="30">
        <f>E12/12</f>
        <v>4166.666666666667</v>
      </c>
      <c r="E12" s="30">
        <v>50000</v>
      </c>
      <c r="F12" s="36">
        <f>D12/100</f>
        <v>41.66666666666667</v>
      </c>
      <c r="G12" s="37" t="s">
        <v>200</v>
      </c>
      <c r="H12" s="38"/>
    </row>
    <row r="13" spans="1:8" s="8" customFormat="1" ht="18.75">
      <c r="A13" s="34" t="s">
        <v>150</v>
      </c>
      <c r="B13" s="35" t="s">
        <v>151</v>
      </c>
      <c r="C13" s="43" t="s">
        <v>152</v>
      </c>
      <c r="D13" s="30">
        <v>25000</v>
      </c>
      <c r="E13" s="30">
        <f>D13*12</f>
        <v>300000</v>
      </c>
      <c r="F13" s="36">
        <v>300</v>
      </c>
      <c r="G13" s="37" t="s">
        <v>153</v>
      </c>
      <c r="H13" s="42"/>
    </row>
    <row r="14" spans="1:8" s="8" customFormat="1" ht="51">
      <c r="A14" s="34" t="s">
        <v>154</v>
      </c>
      <c r="B14" s="35" t="s">
        <v>155</v>
      </c>
      <c r="C14" s="28" t="s">
        <v>156</v>
      </c>
      <c r="D14" s="44">
        <f>E14/12</f>
        <v>32500</v>
      </c>
      <c r="E14" s="44">
        <v>390000</v>
      </c>
      <c r="F14" s="36">
        <f>D14/100</f>
        <v>325</v>
      </c>
      <c r="G14" s="45" t="s">
        <v>157</v>
      </c>
      <c r="H14" s="42"/>
    </row>
    <row r="15" spans="1:8" ht="18.75">
      <c r="A15" s="46" t="s">
        <v>158</v>
      </c>
      <c r="B15" s="47" t="s">
        <v>159</v>
      </c>
      <c r="C15" s="48"/>
      <c r="D15" s="49">
        <f>E15/12</f>
        <v>170166</v>
      </c>
      <c r="E15" s="49">
        <f>E18+E19+E20+E21+E22+E17</f>
        <v>2041992</v>
      </c>
      <c r="F15" s="50">
        <f>D15/100</f>
        <v>1701.66</v>
      </c>
      <c r="G15" s="51"/>
      <c r="H15" s="38"/>
    </row>
    <row r="16" spans="1:8" ht="42" customHeight="1">
      <c r="A16" s="34"/>
      <c r="B16" s="35"/>
      <c r="C16" s="52" t="s">
        <v>37</v>
      </c>
      <c r="D16" s="53" t="s">
        <v>38</v>
      </c>
      <c r="E16" s="53"/>
      <c r="F16" s="53"/>
      <c r="G16" s="54"/>
      <c r="H16" s="38"/>
    </row>
    <row r="17" spans="1:7" s="9" customFormat="1" ht="20.25" customHeight="1">
      <c r="A17" s="55" t="s">
        <v>160</v>
      </c>
      <c r="B17" s="39" t="s">
        <v>40</v>
      </c>
      <c r="C17" s="56">
        <f>D17*0.87</f>
        <v>30000.21</v>
      </c>
      <c r="D17" s="49">
        <v>34483</v>
      </c>
      <c r="E17" s="49">
        <f aca="true" t="shared" si="0" ref="E17:E23">12*D17</f>
        <v>413796</v>
      </c>
      <c r="F17" s="44"/>
      <c r="G17" s="57"/>
    </row>
    <row r="18" spans="1:7" s="10" customFormat="1" ht="15" customHeight="1">
      <c r="A18" s="55" t="s">
        <v>161</v>
      </c>
      <c r="B18" s="39" t="s">
        <v>162</v>
      </c>
      <c r="C18" s="56">
        <f>D18*0.87</f>
        <v>20000.43</v>
      </c>
      <c r="D18" s="49">
        <v>22989</v>
      </c>
      <c r="E18" s="49">
        <f t="shared" si="0"/>
        <v>275868</v>
      </c>
      <c r="F18" s="44"/>
      <c r="G18" s="59"/>
    </row>
    <row r="19" spans="1:8" ht="18.75">
      <c r="A19" s="55" t="s">
        <v>163</v>
      </c>
      <c r="B19" s="39" t="s">
        <v>44</v>
      </c>
      <c r="C19" s="56">
        <f>D19*0.87</f>
        <v>8004</v>
      </c>
      <c r="D19" s="49">
        <v>9200</v>
      </c>
      <c r="E19" s="49">
        <f t="shared" si="0"/>
        <v>110400</v>
      </c>
      <c r="F19" s="44"/>
      <c r="G19" s="59"/>
      <c r="H19" s="58"/>
    </row>
    <row r="20" spans="1:7" ht="18.75">
      <c r="A20" s="55" t="s">
        <v>164</v>
      </c>
      <c r="B20" s="39" t="s">
        <v>46</v>
      </c>
      <c r="C20" s="56">
        <f>D20*0.87</f>
        <v>10005</v>
      </c>
      <c r="D20" s="49">
        <v>11500</v>
      </c>
      <c r="E20" s="49">
        <f t="shared" si="0"/>
        <v>138000</v>
      </c>
      <c r="F20" s="44"/>
      <c r="G20" s="59"/>
    </row>
    <row r="21" spans="1:8" ht="18.75">
      <c r="A21" s="55" t="s">
        <v>165</v>
      </c>
      <c r="B21" s="39" t="s">
        <v>48</v>
      </c>
      <c r="C21" s="56">
        <v>45000</v>
      </c>
      <c r="D21" s="49">
        <v>51725</v>
      </c>
      <c r="E21" s="49">
        <f t="shared" si="0"/>
        <v>620700</v>
      </c>
      <c r="F21" s="44"/>
      <c r="G21" s="59"/>
      <c r="H21" s="58"/>
    </row>
    <row r="22" spans="1:8" ht="18.75">
      <c r="A22" s="55" t="s">
        <v>166</v>
      </c>
      <c r="B22" s="39" t="s">
        <v>201</v>
      </c>
      <c r="C22" s="60"/>
      <c r="D22" s="61">
        <v>40269</v>
      </c>
      <c r="E22" s="49">
        <f t="shared" si="0"/>
        <v>483228</v>
      </c>
      <c r="F22" s="44"/>
      <c r="G22" s="59"/>
      <c r="H22" s="58"/>
    </row>
    <row r="23" spans="1:7" ht="24">
      <c r="A23" s="46" t="s">
        <v>167</v>
      </c>
      <c r="B23" s="62" t="s">
        <v>52</v>
      </c>
      <c r="C23" s="60"/>
      <c r="D23" s="61">
        <v>30000</v>
      </c>
      <c r="E23" s="49">
        <f t="shared" si="0"/>
        <v>360000</v>
      </c>
      <c r="F23" s="36">
        <f>D23/100</f>
        <v>300</v>
      </c>
      <c r="G23" s="63" t="s">
        <v>168</v>
      </c>
    </row>
    <row r="24" spans="1:7" ht="18.75">
      <c r="A24" s="34" t="s">
        <v>169</v>
      </c>
      <c r="B24" s="35" t="s">
        <v>79</v>
      </c>
      <c r="C24" s="43"/>
      <c r="D24" s="30">
        <v>2490</v>
      </c>
      <c r="E24" s="30">
        <f>D24*12</f>
        <v>29880</v>
      </c>
      <c r="F24" s="36">
        <f>D24/100</f>
        <v>24.9</v>
      </c>
      <c r="G24" s="51"/>
    </row>
    <row r="25" spans="1:7" ht="22.5">
      <c r="A25" s="34" t="s">
        <v>170</v>
      </c>
      <c r="B25" s="35" t="s">
        <v>81</v>
      </c>
      <c r="C25" s="43"/>
      <c r="D25" s="30">
        <f>E25/12</f>
        <v>20833.333333333332</v>
      </c>
      <c r="E25" s="30">
        <v>250000</v>
      </c>
      <c r="F25" s="36">
        <f>D25/100</f>
        <v>208.33333333333331</v>
      </c>
      <c r="G25" s="63" t="s">
        <v>213</v>
      </c>
    </row>
    <row r="26" spans="1:7" s="9" customFormat="1" ht="18.75">
      <c r="A26" s="34" t="s">
        <v>171</v>
      </c>
      <c r="B26" s="35" t="s">
        <v>172</v>
      </c>
      <c r="C26" s="64"/>
      <c r="D26" s="30">
        <f>ROUND(E26/12,2)</f>
        <v>1666.67</v>
      </c>
      <c r="E26" s="30">
        <v>20000</v>
      </c>
      <c r="F26" s="36">
        <f>ROUND(D26/100,2)</f>
        <v>16.67</v>
      </c>
      <c r="G26" s="63" t="s">
        <v>202</v>
      </c>
    </row>
    <row r="27" spans="1:7" s="9" customFormat="1" ht="20.25" customHeight="1">
      <c r="A27" s="34" t="s">
        <v>173</v>
      </c>
      <c r="B27" s="35" t="s">
        <v>174</v>
      </c>
      <c r="C27" s="65"/>
      <c r="D27" s="30">
        <f>ROUND(E27/12,2)</f>
        <v>46507.33</v>
      </c>
      <c r="E27" s="30">
        <f>E28+E29+E30+E31</f>
        <v>558088</v>
      </c>
      <c r="F27" s="36">
        <f>ROUND(D27/100,2)</f>
        <v>465.07</v>
      </c>
      <c r="G27" s="51"/>
    </row>
    <row r="28" spans="1:7" s="9" customFormat="1" ht="36" customHeight="1">
      <c r="A28" s="66" t="s">
        <v>175</v>
      </c>
      <c r="B28" s="29" t="s">
        <v>203</v>
      </c>
      <c r="C28" s="40"/>
      <c r="D28" s="41">
        <v>41666</v>
      </c>
      <c r="E28" s="41">
        <v>500000</v>
      </c>
      <c r="F28" s="64">
        <v>416.66</v>
      </c>
      <c r="G28" s="67" t="s">
        <v>221</v>
      </c>
    </row>
    <row r="29" spans="1:7" s="9" customFormat="1" ht="18" customHeight="1">
      <c r="A29" s="66" t="s">
        <v>176</v>
      </c>
      <c r="B29" s="29" t="s">
        <v>177</v>
      </c>
      <c r="C29" s="40"/>
      <c r="D29" s="41">
        <v>475</v>
      </c>
      <c r="E29" s="41">
        <f>475*12</f>
        <v>5700</v>
      </c>
      <c r="F29" s="64">
        <v>4.75</v>
      </c>
      <c r="G29" s="57"/>
    </row>
    <row r="30" spans="1:7" s="9" customFormat="1" ht="18" customHeight="1">
      <c r="A30" s="66" t="s">
        <v>178</v>
      </c>
      <c r="B30" s="29" t="s">
        <v>179</v>
      </c>
      <c r="C30" s="40"/>
      <c r="D30" s="41">
        <v>4166</v>
      </c>
      <c r="E30" s="41">
        <v>50000</v>
      </c>
      <c r="F30" s="64">
        <v>41.66</v>
      </c>
      <c r="G30" s="45" t="s">
        <v>204</v>
      </c>
    </row>
    <row r="31" spans="1:7" s="9" customFormat="1" ht="33" customHeight="1">
      <c r="A31" s="66" t="s">
        <v>180</v>
      </c>
      <c r="B31" s="29" t="s">
        <v>181</v>
      </c>
      <c r="C31" s="40"/>
      <c r="D31" s="41">
        <v>199</v>
      </c>
      <c r="E31" s="41">
        <f>D31*12</f>
        <v>2388</v>
      </c>
      <c r="F31" s="64">
        <v>1.99</v>
      </c>
      <c r="G31" s="37" t="s">
        <v>182</v>
      </c>
    </row>
    <row r="32" spans="1:7" s="9" customFormat="1" ht="37.5" customHeight="1">
      <c r="A32" s="66" t="s">
        <v>211</v>
      </c>
      <c r="B32" s="29" t="s">
        <v>196</v>
      </c>
      <c r="C32" s="40"/>
      <c r="D32" s="41">
        <v>8333.33</v>
      </c>
      <c r="E32" s="41">
        <v>100000</v>
      </c>
      <c r="F32" s="64">
        <v>83.33</v>
      </c>
      <c r="G32" s="37" t="s">
        <v>214</v>
      </c>
    </row>
    <row r="33" spans="1:7" s="9" customFormat="1" ht="35.25" customHeight="1">
      <c r="A33" s="66" t="s">
        <v>183</v>
      </c>
      <c r="B33" s="39" t="s">
        <v>184</v>
      </c>
      <c r="C33" s="68"/>
      <c r="D33" s="41">
        <f aca="true" t="shared" si="1" ref="D33:D39">E33/12</f>
        <v>7500</v>
      </c>
      <c r="E33" s="41">
        <v>90000</v>
      </c>
      <c r="F33" s="69">
        <v>75</v>
      </c>
      <c r="G33" s="70" t="s">
        <v>205</v>
      </c>
    </row>
    <row r="34" spans="1:7" s="11" customFormat="1" ht="38.25" customHeight="1">
      <c r="A34" s="66" t="s">
        <v>185</v>
      </c>
      <c r="B34" s="39" t="s">
        <v>186</v>
      </c>
      <c r="C34" s="68"/>
      <c r="D34" s="41">
        <f t="shared" si="1"/>
        <v>10233.333333333334</v>
      </c>
      <c r="E34" s="41">
        <v>122800</v>
      </c>
      <c r="F34" s="69">
        <v>102.33</v>
      </c>
      <c r="G34" s="71" t="s">
        <v>187</v>
      </c>
    </row>
    <row r="35" spans="1:7" s="12" customFormat="1" ht="18" customHeight="1">
      <c r="A35" s="46" t="s">
        <v>188</v>
      </c>
      <c r="B35" s="62" t="s">
        <v>61</v>
      </c>
      <c r="C35" s="48"/>
      <c r="D35" s="61">
        <f t="shared" si="1"/>
        <v>8333.333333333334</v>
      </c>
      <c r="E35" s="49">
        <f>E36+E37</f>
        <v>100000</v>
      </c>
      <c r="F35" s="36">
        <f>D35/100</f>
        <v>83.33333333333334</v>
      </c>
      <c r="G35" s="51"/>
    </row>
    <row r="36" spans="1:9" s="12" customFormat="1" ht="30" customHeight="1">
      <c r="A36" s="66" t="s">
        <v>189</v>
      </c>
      <c r="B36" s="29" t="s">
        <v>190</v>
      </c>
      <c r="C36" s="72"/>
      <c r="D36" s="73">
        <f t="shared" si="1"/>
        <v>6666.666666666667</v>
      </c>
      <c r="E36" s="69">
        <v>80000</v>
      </c>
      <c r="F36" s="69">
        <v>66.66</v>
      </c>
      <c r="G36" s="37"/>
      <c r="I36" s="3"/>
    </row>
    <row r="37" spans="1:7" s="13" customFormat="1" ht="18" customHeight="1">
      <c r="A37" s="66" t="s">
        <v>191</v>
      </c>
      <c r="B37" s="29" t="s">
        <v>192</v>
      </c>
      <c r="C37" s="68"/>
      <c r="D37" s="74">
        <f t="shared" si="1"/>
        <v>1666.6666666666667</v>
      </c>
      <c r="E37" s="75">
        <v>20000</v>
      </c>
      <c r="F37" s="69">
        <v>16.66</v>
      </c>
      <c r="G37" s="76"/>
    </row>
    <row r="38" spans="1:7" s="13" customFormat="1" ht="18" customHeight="1">
      <c r="A38" s="66" t="s">
        <v>206</v>
      </c>
      <c r="B38" s="29" t="s">
        <v>219</v>
      </c>
      <c r="C38" s="68"/>
      <c r="D38" s="74">
        <f t="shared" si="1"/>
        <v>25000</v>
      </c>
      <c r="E38" s="75">
        <v>300000</v>
      </c>
      <c r="F38" s="69">
        <v>250</v>
      </c>
      <c r="G38" s="76"/>
    </row>
    <row r="39" spans="1:7" s="13" customFormat="1" ht="18" customHeight="1">
      <c r="A39" s="66" t="s">
        <v>207</v>
      </c>
      <c r="B39" s="29" t="s">
        <v>209</v>
      </c>
      <c r="C39" s="68"/>
      <c r="D39" s="74">
        <f t="shared" si="1"/>
        <v>10000</v>
      </c>
      <c r="E39" s="75">
        <v>120000</v>
      </c>
      <c r="F39" s="69">
        <v>100</v>
      </c>
      <c r="G39" s="76"/>
    </row>
    <row r="40" spans="1:7" s="13" customFormat="1" ht="60.75" customHeight="1">
      <c r="A40" s="66" t="s">
        <v>208</v>
      </c>
      <c r="B40" s="29" t="s">
        <v>210</v>
      </c>
      <c r="C40" s="68"/>
      <c r="D40" s="74">
        <v>25000</v>
      </c>
      <c r="E40" s="75">
        <v>300000</v>
      </c>
      <c r="F40" s="69">
        <v>250</v>
      </c>
      <c r="G40" s="76" t="s">
        <v>220</v>
      </c>
    </row>
    <row r="41" spans="1:7" s="12" customFormat="1" ht="18" customHeight="1">
      <c r="A41" s="282" t="s">
        <v>193</v>
      </c>
      <c r="B41" s="282"/>
      <c r="C41" s="60"/>
      <c r="D41" s="61"/>
      <c r="E41" s="61"/>
      <c r="F41" s="36">
        <f>SUM(F12:F40)</f>
        <v>4875.673333333333</v>
      </c>
      <c r="G41" s="51"/>
    </row>
    <row r="42" spans="1:7" s="9" customFormat="1" ht="18.75">
      <c r="A42" s="282"/>
      <c r="B42" s="282"/>
      <c r="C42" s="60"/>
      <c r="D42" s="61"/>
      <c r="E42" s="30" t="s">
        <v>194</v>
      </c>
      <c r="F42" s="77">
        <v>4875.67</v>
      </c>
      <c r="G42" s="78"/>
    </row>
    <row r="43" spans="1:8" ht="27" customHeight="1">
      <c r="A43" s="55"/>
      <c r="B43" s="281" t="s">
        <v>195</v>
      </c>
      <c r="C43" s="281"/>
      <c r="D43" s="281"/>
      <c r="E43" s="281"/>
      <c r="F43" s="43"/>
      <c r="G43" s="78"/>
      <c r="H43" s="58"/>
    </row>
    <row r="44" spans="1:7" s="9" customFormat="1" ht="38.25">
      <c r="A44" s="34" t="s">
        <v>197</v>
      </c>
      <c r="B44" s="79" t="s">
        <v>198</v>
      </c>
      <c r="C44" s="80"/>
      <c r="D44" s="80"/>
      <c r="E44" s="44">
        <v>20000</v>
      </c>
      <c r="F44" s="36"/>
      <c r="G44" s="37" t="s">
        <v>199</v>
      </c>
    </row>
    <row r="45" spans="1:7" ht="18.75">
      <c r="A45" s="55"/>
      <c r="B45" s="81"/>
      <c r="C45" s="82"/>
      <c r="D45" s="82"/>
      <c r="E45" s="83"/>
      <c r="F45" s="84">
        <f>SUM(F44:F44)</f>
        <v>0</v>
      </c>
      <c r="G45" s="78"/>
    </row>
    <row r="46" spans="1:7" s="9" customFormat="1" ht="39" customHeight="1">
      <c r="A46" s="85"/>
      <c r="B46" s="276" t="s">
        <v>215</v>
      </c>
      <c r="C46" s="276"/>
      <c r="D46" s="276"/>
      <c r="E46" s="276"/>
      <c r="F46" s="276"/>
      <c r="G46" s="4"/>
    </row>
    <row r="47" ht="15.75">
      <c r="F47" s="86"/>
    </row>
    <row r="48" ht="25.5" customHeight="1">
      <c r="F48" s="86"/>
    </row>
    <row r="49" ht="15.75">
      <c r="F49" s="86"/>
    </row>
    <row r="50" ht="15.75">
      <c r="F50" s="86"/>
    </row>
    <row r="51" ht="15.75">
      <c r="F51" s="86"/>
    </row>
  </sheetData>
  <sheetProtection/>
  <mergeCells count="4">
    <mergeCell ref="A6:F6"/>
    <mergeCell ref="B43:E43"/>
    <mergeCell ref="B46:F46"/>
    <mergeCell ref="A41:B42"/>
  </mergeCells>
  <printOptions/>
  <pageMargins left="0.5118110236220472" right="0" top="0" bottom="0" header="0.31496062992125984" footer="0.31496062992125984"/>
  <pageSetup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C1" sqref="A1:IV16384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6" width="11.421875" style="3" customWidth="1"/>
    <col min="7" max="7" width="11.421875" style="6" customWidth="1"/>
    <col min="8" max="8" width="11.421875" style="4" customWidth="1"/>
    <col min="9" max="16384" width="11.42187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7" sqref="F17"/>
    </sheetView>
  </sheetViews>
  <sheetFormatPr defaultColWidth="11.421875" defaultRowHeight="12.75"/>
  <cols>
    <col min="1" max="1" width="11.421875" style="1" customWidth="1"/>
    <col min="2" max="2" width="11.421875" style="2" customWidth="1"/>
    <col min="3" max="6" width="11.421875" style="3" customWidth="1"/>
    <col min="7" max="7" width="11.421875" style="4" customWidth="1"/>
    <col min="8" max="252" width="11.421875" style="3" customWidth="1"/>
    <col min="253" max="16384" width="11.42187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Михайловна</dc:creator>
  <cp:keywords/>
  <dc:description/>
  <cp:lastModifiedBy>Windows User</cp:lastModifiedBy>
  <cp:lastPrinted>2021-02-05T08:43:16Z</cp:lastPrinted>
  <dcterms:created xsi:type="dcterms:W3CDTF">2021-02-03T07:51:16Z</dcterms:created>
  <dcterms:modified xsi:type="dcterms:W3CDTF">2022-02-04T12:52:10Z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